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comments2.xml" ContentType="application/vnd.openxmlformats-officedocument.spreadsheetml.comments+xml"/>
  <Override PartName="/xl/styles.xml" ContentType="application/vnd.openxmlformats-officedocument.spreadsheetml.styles+xml"/>
  <Override PartName="/xl/worksheets/sheet11.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vmlDrawing1.vml" ContentType="application/vnd.openxmlformats-officedocument.vmlDrawing"/>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nahmen" sheetId="1" state="visible" r:id="rId3"/>
    <sheet name="Mietregister" sheetId="2" state="visible" r:id="rId4"/>
    <sheet name="Flächenabgleich" sheetId="3" state="visible" r:id="rId5"/>
    <sheet name="Preisfindung" sheetId="4" state="visible" r:id="rId6"/>
    <sheet name="Hochrechnung" sheetId="5" state="visible" r:id="rId7"/>
    <sheet name="Zinsmatrix" sheetId="6" state="visible" r:id="rId8"/>
    <sheet name="DenkmalAfA" sheetId="7" state="visible" r:id="rId9"/>
    <sheet name="Marktvergleich" sheetId="8" state="visible" r:id="rId10"/>
    <sheet name="Ausbau" sheetId="9" state="visible" r:id="rId11"/>
    <sheet name="Architektenkosten" sheetId="10" state="visible" r:id="rId12"/>
    <sheet name="Vergleichsangebote" sheetId="11" state="visible" r:id="rId13"/>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Kalkulation</author>
  </authors>
  <commentList>
    <comment ref="G26" authorId="0">
      <text>
        <r>
          <rPr>
            <sz val="10"/>
            <rFont val="Arial"/>
            <family val="2"/>
          </rPr>
          <t xml:space="preserve">SOLL Bismarckstraße liegt 40,00 € über der Verwaltungsübersicht (3.397,60 €), weil der Mieterwechsel 2. OG links auf Herrn Pucher (500 € statt 460 €) eingearbeitet ist.</t>
        </r>
      </text>
    </comment>
  </commentList>
</comments>
</file>

<file path=xl/sharedStrings.xml><?xml version="1.0" encoding="utf-8"?>
<sst xmlns="http://schemas.openxmlformats.org/spreadsheetml/2006/main" count="756" uniqueCount="484">
  <si>
    <t xml:space="preserve">Annahmen und Stellschrauben</t>
  </si>
  <si>
    <t xml:space="preserve">Nur die BLAU und gelb hinterlegten Zellen ändern. Alle anderen Blätter rechnen automatisch nach. Schwarz = Formel, Grün = Verweis auf ein anderes Blatt.</t>
  </si>
  <si>
    <t xml:space="preserve">PARAMETER</t>
  </si>
  <si>
    <t xml:space="preserve">Wert</t>
  </si>
  <si>
    <t xml:space="preserve">Einheit</t>
  </si>
  <si>
    <t xml:space="preserve">Wirkung / Herkunft</t>
  </si>
  <si>
    <t xml:space="preserve">Angebotspreis Breite Straße 18</t>
  </si>
  <si>
    <t xml:space="preserve">€</t>
  </si>
  <si>
    <t xml:space="preserve">Einzelverkaufspreis</t>
  </si>
  <si>
    <t xml:space="preserve">Angebotspreis Breite Straße 20</t>
  </si>
  <si>
    <t xml:space="preserve">Angebotspreis Bismarckstraße 10</t>
  </si>
  <si>
    <t xml:space="preserve">Paketpreis (alle drei Häuser)</t>
  </si>
  <si>
    <t xml:space="preserve">Angebotspreis im Bündel; Abschlag gegenüber der Summe der Einzelpreise</t>
  </si>
  <si>
    <t xml:space="preserve">BEWIRTSCHAFTUNG UND MIETE</t>
  </si>
  <si>
    <t xml:space="preserve">Bewirtschaftungskosten, nicht umlagefähig</t>
  </si>
  <si>
    <t xml:space="preserve">% der Miete</t>
  </si>
  <si>
    <t xml:space="preserve">Verwaltung, Instandhaltung, Mietausfallwagnis. Marktüblich 22–28 % bei Altbau mit Gewerbeanteil.</t>
  </si>
  <si>
    <t xml:space="preserve">Mietsteigerung dynamische Hochrechnung</t>
  </si>
  <si>
    <t xml:space="preserve">% p. a.</t>
  </si>
  <si>
    <t xml:space="preserve">Nur für die dynamische Variante auf dem Blatt Hochrechnung.</t>
  </si>
  <si>
    <t xml:space="preserve">Potenzialmiete Kleinwohnungen</t>
  </si>
  <si>
    <t xml:space="preserve">€/m²</t>
  </si>
  <si>
    <t xml:space="preserve">Ansatz für App. 1 und App. 2 in der Bismarckstraße. Delitzscher Angebotsmiete für Wohnungen unter 40 m²: 9,06 €/m².</t>
  </si>
  <si>
    <t xml:space="preserve">Potenzialmiete Laden Erdgeschoss</t>
  </si>
  <si>
    <t xml:space="preserve">Ansatz für den Laden Breite Straße 20 EG (Altstadtlage).</t>
  </si>
  <si>
    <t xml:space="preserve">Potenzialmiete Gewerbe Neben-/Obergeschoss</t>
  </si>
  <si>
    <t xml:space="preserve">Ansatz für Bismarckstraße Gewerbe und Breite Straße 20, 1. OG. Fachmarkt-Vergleichsmieten in Delitzsch: 4,00–6,40 €/m².</t>
  </si>
  <si>
    <t xml:space="preserve">ERWERB UND FINANZIERUNG</t>
  </si>
  <si>
    <t xml:space="preserve">Grunderwerbsteuer Sachsen</t>
  </si>
  <si>
    <t xml:space="preserve">%</t>
  </si>
  <si>
    <t xml:space="preserve">Seit 01.01.2023 unverändert 5,5 %.</t>
  </si>
  <si>
    <t xml:space="preserve">Notar und Grundbuch</t>
  </si>
  <si>
    <t xml:space="preserve">Erfahrungswert 1,5–2,0 % des Kaufpreises.</t>
  </si>
  <si>
    <t xml:space="preserve">Fremdkapitalquote</t>
  </si>
  <si>
    <t xml:space="preserve">% des Kaufpreises</t>
  </si>
  <si>
    <t xml:space="preserve">Beispielrechnung Blatt Zinsmatrix.</t>
  </si>
  <si>
    <t xml:space="preserve">Anfangstilgung</t>
  </si>
  <si>
    <t xml:space="preserve">Annuität = (Zins + Anfangstilgung) × Darlehen.</t>
  </si>
  <si>
    <t xml:space="preserve">Zinsszenario 1</t>
  </si>
  <si>
    <t xml:space="preserve">Best Case. Mitte 2026 am Markt nicht erreichbar (Topzins 10 J ≈ 3,7 %).</t>
  </si>
  <si>
    <t xml:space="preserve">Zinsszenario 2</t>
  </si>
  <si>
    <t xml:space="preserve">Basisfall.</t>
  </si>
  <si>
    <t xml:space="preserve">Zinsszenario 3</t>
  </si>
  <si>
    <t xml:space="preserve">Stresstest.</t>
  </si>
  <si>
    <t xml:space="preserve">DENKMAL-AfA BREITE STRASSE 18/20</t>
  </si>
  <si>
    <t xml:space="preserve">Grundstücksfläche Breite Straße 18 + 20</t>
  </si>
  <si>
    <t xml:space="preserve">m²</t>
  </si>
  <si>
    <t xml:space="preserve">SCHÄTZUNG — die tatsächliche Fläche fehlt in den Unterlagen und ist aus dem Grundbuch zu ergänzen.</t>
  </si>
  <si>
    <t xml:space="preserve">Bodenrichtwert Altstadt</t>
  </si>
  <si>
    <t xml:space="preserve">BORIS Sachsen, Zone 30003160 (M), Stichtag 01.01.2026.</t>
  </si>
  <si>
    <t xml:space="preserve">Sanierungsvolumen (Szenario)</t>
  </si>
  <si>
    <t xml:space="preserve">Nur mit der Bescheinigungsbehörde VOR Baubeginn abgestimmte Baumaßnahmen sind nach § 7i EStG begünstigt.</t>
  </si>
  <si>
    <t xml:space="preserve">Grenzsteuersatz des Erwerbers</t>
  </si>
  <si>
    <t xml:space="preserve">Ohne Solidaritätszuschlag; dieser wird mit 5,5 % aufgeschlagen.</t>
  </si>
  <si>
    <t xml:space="preserve">Solidaritätszuschlag</t>
  </si>
  <si>
    <t xml:space="preserve">Auf die Einkommensteuer.</t>
  </si>
  <si>
    <t xml:space="preserve">Lineare Gebäude-AfA</t>
  </si>
  <si>
    <t xml:space="preserve">§ 7 Abs. 4 S. 1 Nr. 2c EStG — Fertigstellung vor dem 01.01.1925.</t>
  </si>
  <si>
    <t xml:space="preserve">Diskontzins Barwertvergleich AfA</t>
  </si>
  <si>
    <t xml:space="preserve">Für den Barwertvergleich § 7i gegen linear.</t>
  </si>
  <si>
    <t xml:space="preserve">POTENZIALANSÄTZE — Nachschlagetabelle</t>
  </si>
  <si>
    <t xml:space="preserve">Kategorie</t>
  </si>
  <si>
    <t xml:space="preserve">Kleinwohnung</t>
  </si>
  <si>
    <t xml:space="preserve">Laden EG</t>
  </si>
  <si>
    <t xml:space="preserve">Gewerbe Nebenlage</t>
  </si>
  <si>
    <t xml:space="preserve">Legende: BLAU auf gelb = Eingabezelle · Schwarz = Formel · Grün = Verweis auf ein anderes Blatt. Änderungen wirken sich auf alle Folgeblätter aus.</t>
  </si>
  <si>
    <t xml:space="preserve">AUSBAUMODULE — Stellschrauben</t>
  </si>
  <si>
    <t xml:space="preserve">Modul</t>
  </si>
  <si>
    <t xml:space="preserve">Wohnfläche m²</t>
  </si>
  <si>
    <t xml:space="preserve">Baukosten €/m²</t>
  </si>
  <si>
    <t xml:space="preserve">Kaltmiete €/m²</t>
  </si>
  <si>
    <t xml:space="preserve">Bismarckstraße 10 · Ersatzneubau Hinterhaus</t>
  </si>
  <si>
    <t xml:space="preserve">Breite Straße 20 · Neue Wohnfläche im Bestand</t>
  </si>
  <si>
    <t xml:space="preserve">Breite Straße 18 · Dachgeschossausbau</t>
  </si>
  <si>
    <t xml:space="preserve">Hinweis: 20 €/m² Neubaumiete sind in Delitzsch nicht belegbar. Höchstes reales Angebot 13,16 €/m², echter Neubau Bj. 2026 = 10,94 €/m².</t>
  </si>
  <si>
    <t xml:space="preserve">Mietregister — Stand 07.08.2026</t>
  </si>
  <si>
    <t xml:space="preserve">Netto-Kaltmieten. Spalte Potenzial zieht bei Leerstand den Ansatz aus dem Blatt Annahmen.</t>
  </si>
  <si>
    <t xml:space="preserve">Objekt</t>
  </si>
  <si>
    <t xml:space="preserve">Nutzung</t>
  </si>
  <si>
    <t xml:space="preserve">Status</t>
  </si>
  <si>
    <t xml:space="preserve">Mieter</t>
  </si>
  <si>
    <t xml:space="preserve">Fläche m²</t>
  </si>
  <si>
    <t xml:space="preserve">IST €/Monat</t>
  </si>
  <si>
    <t xml:space="preserve">SOLL €/Monat</t>
  </si>
  <si>
    <t xml:space="preserve">BK €/Monat</t>
  </si>
  <si>
    <t xml:space="preserve">Potenzialkategorie</t>
  </si>
  <si>
    <t xml:space="preserve">Ansatz €/m²</t>
  </si>
  <si>
    <t xml:space="preserve">Potenzial €/Monat</t>
  </si>
  <si>
    <t xml:space="preserve">IST €/m²</t>
  </si>
  <si>
    <t xml:space="preserve">SOLL €/m²</t>
  </si>
  <si>
    <t xml:space="preserve">vermietet seit</t>
  </si>
  <si>
    <t xml:space="preserve">Breite Straße 18</t>
  </si>
  <si>
    <t xml:space="preserve">EG Ladengeschäft</t>
  </si>
  <si>
    <t xml:space="preserve">Gewerbe</t>
  </si>
  <si>
    <t xml:space="preserve">vermietet</t>
  </si>
  <si>
    <t xml:space="preserve">Bestattungen Tröger/Luckow</t>
  </si>
  <si>
    <t xml:space="preserve">01.03.2026</t>
  </si>
  <si>
    <t xml:space="preserve">Büro Hofgebäude</t>
  </si>
  <si>
    <t xml:space="preserve">Dr. Seifert, Psychotherapie</t>
  </si>
  <si>
    <t xml:space="preserve">01.01.2026</t>
  </si>
  <si>
    <t xml:space="preserve">1. OG Wohnung</t>
  </si>
  <si>
    <t xml:space="preserve">Wohnen</t>
  </si>
  <si>
    <t xml:space="preserve">S. Schleicher</t>
  </si>
  <si>
    <t xml:space="preserve">01.05.2023</t>
  </si>
  <si>
    <t xml:space="preserve">2. OG Wohnung</t>
  </si>
  <si>
    <t xml:space="preserve">Klein / Eichler</t>
  </si>
  <si>
    <t xml:space="preserve">15.05.2019</t>
  </si>
  <si>
    <t xml:space="preserve">Summe Breite Straße 18</t>
  </si>
  <si>
    <t xml:space="preserve">Breite Straße 20</t>
  </si>
  <si>
    <t xml:space="preserve">Leerstand</t>
  </si>
  <si>
    <t xml:space="preserve">–</t>
  </si>
  <si>
    <t xml:space="preserve">1. OG Gewerbe</t>
  </si>
  <si>
    <t xml:space="preserve">2. OG rechts</t>
  </si>
  <si>
    <t xml:space="preserve">Plener</t>
  </si>
  <si>
    <t xml:space="preserve">01.11.1999</t>
  </si>
  <si>
    <t xml:space="preserve">2. OG links</t>
  </si>
  <si>
    <t xml:space="preserve">S. Wagner (ab 01.04.2026)</t>
  </si>
  <si>
    <t xml:space="preserve">01.04.2026</t>
  </si>
  <si>
    <t xml:space="preserve">3. OG</t>
  </si>
  <si>
    <t xml:space="preserve">Heyrich</t>
  </si>
  <si>
    <t xml:space="preserve">01.06.2008</t>
  </si>
  <si>
    <t xml:space="preserve">DG Wohnung</t>
  </si>
  <si>
    <t xml:space="preserve">Epperlein</t>
  </si>
  <si>
    <t xml:space="preserve">10.01.2022</t>
  </si>
  <si>
    <t xml:space="preserve">Summe Breite Straße 20</t>
  </si>
  <si>
    <t xml:space="preserve">Bismarckstraße 10</t>
  </si>
  <si>
    <t xml:space="preserve">App. 1 (EG)</t>
  </si>
  <si>
    <t xml:space="preserve">App. 2 (1. OG)</t>
  </si>
  <si>
    <t xml:space="preserve">1. OG links</t>
  </si>
  <si>
    <t xml:space="preserve">Häßler</t>
  </si>
  <si>
    <t xml:space="preserve">01.03.2023</t>
  </si>
  <si>
    <t xml:space="preserve">1. OG rechts</t>
  </si>
  <si>
    <t xml:space="preserve">Steffen</t>
  </si>
  <si>
    <t xml:space="preserve">01.07.2014</t>
  </si>
  <si>
    <t xml:space="preserve">Pucher (ab 01.03.2026)</t>
  </si>
  <si>
    <t xml:space="preserve">Decker</t>
  </si>
  <si>
    <t xml:space="preserve">01.07.2002</t>
  </si>
  <si>
    <t xml:space="preserve">Dachgeschoss</t>
  </si>
  <si>
    <t xml:space="preserve">Frieß</t>
  </si>
  <si>
    <t xml:space="preserve">01.03.2024</t>
  </si>
  <si>
    <t xml:space="preserve">Gewerbe EG</t>
  </si>
  <si>
    <t xml:space="preserve">Ritter</t>
  </si>
  <si>
    <t xml:space="preserve">01.11.2023</t>
  </si>
  <si>
    <t xml:space="preserve">Gewerbe EG/1. OG</t>
  </si>
  <si>
    <t xml:space="preserve">Summe Bismarckstraße 10</t>
  </si>
  <si>
    <t xml:space="preserve">GESAMT alle drei Objekte</t>
  </si>
  <si>
    <t xml:space="preserve">Quelle: Mieterübersicht Hausverwaltung Wagner, Blatt „2026 Mieteinnahmen“, Stand 01/2026, fortgeschrieben um die Mieterwechsel Pucher (01.03.2026) und Wagner (01.04.2026). Mieterhöhungen mit Wirksamkeitsdatum in der Vergangenheit sind im IST enthalten, angekündigte Erhöhungen nur im SOLL.</t>
  </si>
  <si>
    <t xml:space="preserve">Vermietete gegen freistehende Flächen</t>
  </si>
  <si>
    <t xml:space="preserve">Alle Werte per SUMIFS aus dem Blatt Mietregister — sie folgen jeder Änderung dort.</t>
  </si>
  <si>
    <t xml:space="preserve">Wohnen vermietet</t>
  </si>
  <si>
    <t xml:space="preserve">Wohnen leer</t>
  </si>
  <si>
    <t xml:space="preserve">Gewerbe vermietet</t>
  </si>
  <si>
    <t xml:space="preserve">Gewerbe leer</t>
  </si>
  <si>
    <t xml:space="preserve">Σ vermietet</t>
  </si>
  <si>
    <t xml:space="preserve">Σ Leerstand</t>
  </si>
  <si>
    <t xml:space="preserve">Mietfläche gesamt</t>
  </si>
  <si>
    <t xml:space="preserve">Quote vermietet</t>
  </si>
  <si>
    <t xml:space="preserve">Wohn-/Gewerbefl. Aufmaß</t>
  </si>
  <si>
    <t xml:space="preserve">Nutzfläche Aufmaß</t>
  </si>
  <si>
    <t xml:space="preserve">Δ Vertrag ./. Aufmaß</t>
  </si>
  <si>
    <t xml:space="preserve">GESAMT</t>
  </si>
  <si>
    <t xml:space="preserve">AUSBAURESERVE UND KELLER (im Kaufpreis nicht bewertet)</t>
  </si>
  <si>
    <t xml:space="preserve">Position</t>
  </si>
  <si>
    <t xml:space="preserve">Dachboden unausgebaut Breite Straße 18</t>
  </si>
  <si>
    <t xml:space="preserve">Dachboden unausgebaut Breite Straße 20</t>
  </si>
  <si>
    <t xml:space="preserve">Keller Breite Straße 18</t>
  </si>
  <si>
    <t xml:space="preserve">Keller Breite Straße 20</t>
  </si>
  <si>
    <t xml:space="preserve">Keller Bismarckstraße 10</t>
  </si>
  <si>
    <t xml:space="preserve">Summe</t>
  </si>
  <si>
    <t xml:space="preserve">Preisfindung und Renditekennzahlen</t>
  </si>
  <si>
    <t xml:space="preserve">Preise kommen aus dem Blatt Annahmen. Faktoren, Renditen und €/m² sind Formeln.</t>
  </si>
  <si>
    <t xml:space="preserve">Angebotspreis</t>
  </si>
  <si>
    <t xml:space="preserve">Jahresmiete IST</t>
  </si>
  <si>
    <t xml:space="preserve">Jahresmiete SOLL</t>
  </si>
  <si>
    <t xml:space="preserve">Jahresmiete Potenzial</t>
  </si>
  <si>
    <t xml:space="preserve">Faktor IST</t>
  </si>
  <si>
    <t xml:space="preserve">Faktor SOLL</t>
  </si>
  <si>
    <t xml:space="preserve">Faktor Potenzial</t>
  </si>
  <si>
    <t xml:space="preserve">Brutto IST</t>
  </si>
  <si>
    <t xml:space="preserve">Brutto SOLL</t>
  </si>
  <si>
    <t xml:space="preserve">Brutto Potenzial</t>
  </si>
  <si>
    <t xml:space="preserve">€/m² vermietet</t>
  </si>
  <si>
    <t xml:space="preserve">€/m² Mietfläche</t>
  </si>
  <si>
    <t xml:space="preserve">€/m² Aufmaß</t>
  </si>
  <si>
    <t xml:space="preserve">Summe Einzelverkauf</t>
  </si>
  <si>
    <t xml:space="preserve">PAKETPREIS</t>
  </si>
  <si>
    <t xml:space="preserve">Bündelabschlag gegenüber Einzelverkauf</t>
  </si>
  <si>
    <t xml:space="preserve">ERTRAGSWERT UND ERWERBSNEBENKOSTEN</t>
  </si>
  <si>
    <t xml:space="preserve">IST</t>
  </si>
  <si>
    <t xml:space="preserve">SOLL</t>
  </si>
  <si>
    <t xml:space="preserve">Potenzial</t>
  </si>
  <si>
    <t xml:space="preserve">Jahresrohertrag (Nettokaltmiete)</t>
  </si>
  <si>
    <t xml:space="preserve">./. Bewirtschaftungskosten</t>
  </si>
  <si>
    <t xml:space="preserve">Jahresreinertrag</t>
  </si>
  <si>
    <t xml:space="preserve">Nettoanfangsrendite auf Paketpreis</t>
  </si>
  <si>
    <t xml:space="preserve">ERTRAGSWERT als ewige Rente (Reinertrag ÷ Liegenschaftszins)</t>
  </si>
  <si>
    <t xml:space="preserve">Liegenschaftszins</t>
  </si>
  <si>
    <t xml:space="preserve">ERWERBSNEBENKOSTEN auf den Paketpreis</t>
  </si>
  <si>
    <t xml:space="preserve">Satz</t>
  </si>
  <si>
    <t xml:space="preserve">Betrag</t>
  </si>
  <si>
    <t xml:space="preserve">Gesamtinvestition</t>
  </si>
  <si>
    <t xml:space="preserve">Hochrechnung der Mieteinnahmen über 10, 15 und 20 Jahre</t>
  </si>
  <si>
    <t xml:space="preserve">Nominal ohne Annahme und dynamisch mit der Mietsteigerung aus dem Blatt Annahmen.</t>
  </si>
  <si>
    <t xml:space="preserve">Szenario</t>
  </si>
  <si>
    <t xml:space="preserve">Jahresmiete</t>
  </si>
  <si>
    <t xml:space="preserve">10 Jahre</t>
  </si>
  <si>
    <t xml:space="preserve">15 Jahre</t>
  </si>
  <si>
    <t xml:space="preserve">20 Jahre</t>
  </si>
  <si>
    <t xml:space="preserve">Miete im Jahr 20</t>
  </si>
  <si>
    <t xml:space="preserve">Amortisation Paketpreis</t>
  </si>
  <si>
    <t xml:space="preserve">NOMINAL — ohne Mietsteigerung</t>
  </si>
  <si>
    <t xml:space="preserve">DYNAMISCH — mit Mietsteigerung</t>
  </si>
  <si>
    <t xml:space="preserve">Amortisation = Paketpreis geteilt durch die Jahresnettokaltmiete, vor Kosten, vor Steuern, ohne Wertsteigerung.</t>
  </si>
  <si>
    <t xml:space="preserve">Zinsrechnung bei 3, 4 und 5 Prozent</t>
  </si>
  <si>
    <t xml:space="preserve">Sicht 1: Barwert der Mieten. Sicht 2: Finanzierung des Käufers. Zinssätze im Blatt Annahmen.</t>
  </si>
  <si>
    <t xml:space="preserve">SICHT 1 — BARWERT DER MIETZAHLUNGSREIHE</t>
  </si>
  <si>
    <t xml:space="preserve">Basis</t>
  </si>
  <si>
    <t xml:space="preserve">Zins</t>
  </si>
  <si>
    <t xml:space="preserve">Barwert 10 J</t>
  </si>
  <si>
    <t xml:space="preserve">Barwert 15 J</t>
  </si>
  <si>
    <t xml:space="preserve">Barwert 20 J</t>
  </si>
  <si>
    <t xml:space="preserve">RBF 10 J</t>
  </si>
  <si>
    <t xml:space="preserve">RBF 15 J</t>
  </si>
  <si>
    <t xml:space="preserve">RBF 20 J</t>
  </si>
  <si>
    <t xml:space="preserve">Rohertrag IST</t>
  </si>
  <si>
    <t xml:space="preserve">Rohertrag SOLL</t>
  </si>
  <si>
    <t xml:space="preserve">Reinertrag IST</t>
  </si>
  <si>
    <t xml:space="preserve">Reinertrag SOLL</t>
  </si>
  <si>
    <t xml:space="preserve">SICHT 2 — FINANZIERUNG DES KÄUFERS</t>
  </si>
  <si>
    <t xml:space="preserve">Kaufpreis (Paket)</t>
  </si>
  <si>
    <t xml:space="preserve">Gesamtinvestition inkl. Nebenkosten</t>
  </si>
  <si>
    <t xml:space="preserve">Darlehen</t>
  </si>
  <si>
    <t xml:space="preserve">Eigenkapital</t>
  </si>
  <si>
    <t xml:space="preserve">Reinertrag SOLL p. a.</t>
  </si>
  <si>
    <t xml:space="preserve">Reinertrag IST p. a.</t>
  </si>
  <si>
    <t xml:space="preserve">Annuität p. a.</t>
  </si>
  <si>
    <t xml:space="preserve">Annuität p. M.</t>
  </si>
  <si>
    <t xml:space="preserve">Restschuld n. 10 J</t>
  </si>
  <si>
    <t xml:space="preserve">Restschuld n. 15 J</t>
  </si>
  <si>
    <t xml:space="preserve">Restschuld n. 20 J</t>
  </si>
  <si>
    <t xml:space="preserve">Zinsaufwand 20 J</t>
  </si>
  <si>
    <t xml:space="preserve">Cashflow IST</t>
  </si>
  <si>
    <t xml:space="preserve">Cashflow SOLL</t>
  </si>
  <si>
    <t xml:space="preserve">DSCR SOLL</t>
  </si>
  <si>
    <t xml:space="preserve">EK-Rendite SOLL</t>
  </si>
  <si>
    <t xml:space="preserve">Annuität = Darlehen × (Zins + Anfangstilgung). Restschuld = K×(1+i)^n − A×((1+i)^n−1)/i. DSCR = Reinertrag ÷ Kapitaldienst; Banken verlangen üblicherweise mindestens 1,10. RBF = Rentenbarwertfaktor (1−(1+i)^−n)/i.</t>
  </si>
  <si>
    <t xml:space="preserve">Denkmalabschreibung Breite Straße 18 und 20</t>
  </si>
  <si>
    <t xml:space="preserve">§ 7i EStG: 8 Jahre je 9 %, danach 4 Jahre je 7 % = 100 % in 12 Jahren — aber nur auf künftige, VOR Baubeginn abgestimmte Baumaßnahmen, nicht auf den Kaufpreis.</t>
  </si>
  <si>
    <t xml:space="preserve">BEMESSUNGSGRUNDLAGE DER LAUFENDEN AfA</t>
  </si>
  <si>
    <t xml:space="preserve">Grundlage</t>
  </si>
  <si>
    <t xml:space="preserve">Kaufpreis Breite Straße 18</t>
  </si>
  <si>
    <t xml:space="preserve">Blatt Annahmen</t>
  </si>
  <si>
    <t xml:space="preserve">Kaufpreis Breite Straße 20</t>
  </si>
  <si>
    <t xml:space="preserve">Summe Kaufpreis</t>
  </si>
  <si>
    <t xml:space="preserve">Erwerbsnebenkosten</t>
  </si>
  <si>
    <t xml:space="preserve">Grunderwerbsteuer Sachsen 5,5 % zzgl. Notar und Grundbuch</t>
  </si>
  <si>
    <t xml:space="preserve">./. Bodenwert</t>
  </si>
  <si>
    <t xml:space="preserve">ANNAHME: Grundstücksfläche fehlt in den Unterlagen. Bodenrichtwert BORIS Sachsen Zone 30003160 (M), Stichtag 01.01.2026.</t>
  </si>
  <si>
    <t xml:space="preserve">AfA-Bemessungsgrundlage Gebäude</t>
  </si>
  <si>
    <t xml:space="preserve">Gebäudeanteil an der Gesamtinvestition</t>
  </si>
  <si>
    <t xml:space="preserve">Hoher Gebäudeanteil ist bei innerstädtischer geschlossener Bebauung plausibel</t>
  </si>
  <si>
    <t xml:space="preserve">Lineare AfA p. a.</t>
  </si>
  <si>
    <t xml:space="preserve">§ 7 Abs. 4 S. 1 Nr. 2c EStG — 2,5 % über 40 Jahre, Fertigstellung vor 1925</t>
  </si>
  <si>
    <t xml:space="preserve">Alternative: AfA bei Restnutzungsdauer 25 Jahre</t>
  </si>
  <si>
    <t xml:space="preserve">§ 7 Abs. 4 S. 2 EStG — nur mit Sachverständigengutachten zur Restnutzungsdauer</t>
  </si>
  <si>
    <t xml:space="preserve">DENKMAL-AfA NACH § 7i EStG — SZENARIO AUS DEM BLATT ANNAHMEN</t>
  </si>
  <si>
    <t xml:space="preserve">Hinweis</t>
  </si>
  <si>
    <t xml:space="preserve">Sanierungsvolumen (abgestimmte Baumaßnahmen)</t>
  </si>
  <si>
    <t xml:space="preserve">Nur Maßnahmen, die VOR Baubeginn mit dem Landratsamt Nordsachsen abgestimmt wurden</t>
  </si>
  <si>
    <t xml:space="preserve">Abschreibung Jahr 1 bis 8 (je 9 %)</t>
  </si>
  <si>
    <t xml:space="preserve">Abschreibung Jahr 9 bis 12 (je 7 %)</t>
  </si>
  <si>
    <t xml:space="preserve">Summe Abschreibung über 12 Jahre</t>
  </si>
  <si>
    <t xml:space="preserve">entspricht 100 % des Sanierungsvolumens</t>
  </si>
  <si>
    <t xml:space="preserve">Effektiver Steuersatz</t>
  </si>
  <si>
    <t xml:space="preserve">Grenzsteuersatz zuzüglich Solidaritätszuschlag</t>
  </si>
  <si>
    <t xml:space="preserve">Steuerersparnis Jahr 1 bis 8 p. a.</t>
  </si>
  <si>
    <t xml:space="preserve">Steuerersparnis Jahr 9 bis 12 p. a.</t>
  </si>
  <si>
    <t xml:space="preserve">Steuerersparnis gesamt</t>
  </si>
  <si>
    <t xml:space="preserve">GEGENRECHNUNG — dieselbe Summe linear abgeschrieben</t>
  </si>
  <si>
    <t xml:space="preserve">Lineare AfA auf das Sanierungsvolumen p. a.</t>
  </si>
  <si>
    <t xml:space="preserve">2,5 % über 40 Jahre</t>
  </si>
  <si>
    <t xml:space="preserve">Abschreibungsvolumen nach 12 Jahren</t>
  </si>
  <si>
    <t xml:space="preserve">gegenüber 100 % bei § 7i</t>
  </si>
  <si>
    <t xml:space="preserve">Barwert der Steuerersparnis § 7i</t>
  </si>
  <si>
    <t xml:space="preserve">abgezinst mit dem Diskontzins aus dem Blatt Annahmen</t>
  </si>
  <si>
    <t xml:space="preserve">Barwert der Steuerersparnis linear (40 Jahre)</t>
  </si>
  <si>
    <t xml:space="preserve">BARWERTVORTEIL DER DENKMAL-AfA</t>
  </si>
  <si>
    <t xml:space="preserve">Vorteil in % des Sanierungsvolumens</t>
  </si>
  <si>
    <t xml:space="preserve">ABSCHREIBUNGSVERLAUF § 7i ÜBER 12 JAHRE</t>
  </si>
  <si>
    <t xml:space="preserve">Jahr</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</si>
  <si>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</si>
  <si>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</si>
  <si>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</si>
  <si>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</si>
  <si>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</si>
  <si>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</si>
  <si>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</si>
  <si>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</si>
  <si>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</si>
  <si>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</si>
  <si>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</si>
  <si>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</si>
  <si>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Abschreibung €</t>
  </si>
  <si>
    <t xml:space="preserve">Steuerersparnis €</t>
  </si>
  <si>
    <t xml:space="preserve">kumuliert €</t>
  </si>
  <si>
    <t xml:space="preserve">WICHTIG: Die Denkmal-AfA gilt nicht auf den Kaufpreis. Begünstigt sind nach § 7i Abs. 1 S. 1 EStG ausschließlich Herstellungskosten für Baumaßnahmen zur Erhaltung des Baudenkmals oder seiner sinnvollen Nutzung. Die Maßnahmen müssen VOR Baubeginn mit der Bescheinigungsbehörde abgestimmt sein — die sächsische Bescheinigungsrichtlinie vom 17.04.2025 stellt klar, dass eine unterbliebene Vorabstimmung nicht nachträglich ersetzt werden kann. Zuständig ist das Landratsamt Nordsachsen im Einvernehmen mit dem Landesamt für Denkmalpflege. Diese Berechnung ersetzt keine Steuerberatung.</t>
  </si>
  <si>
    <t xml:space="preserve">Marktvergleich Delitzsch</t>
  </si>
  <si>
    <t xml:space="preserve">Angebotspreise; für Delitzsch gibt es keine frei zugänglichen amtlichen Transaktionspreise.</t>
  </si>
  <si>
    <t xml:space="preserve">Vergleichsobjekt / Segment</t>
  </si>
  <si>
    <t xml:space="preserve">Kaufpreis</t>
  </si>
  <si>
    <t xml:space="preserve">Quelle und Stand</t>
  </si>
  <si>
    <t xml:space="preserve">AKTUELLE MEHRFAMILIENHAUS-ANGEBOTE IN DELITZSCH</t>
  </si>
  <si>
    <t xml:space="preserve">MFH saniert, zentrale Lage, 16 Zimmer</t>
  </si>
  <si>
    <t xml:space="preserve">immosuchmaschine.de, 07.08.2026</t>
  </si>
  <si>
    <t xml:space="preserve">Anlageobjekt mit Entwicklungspotenzial, 18 Zimmer</t>
  </si>
  <si>
    <t xml:space="preserve">10 WE, komplett saniert 2016, vollvermietet</t>
  </si>
  <si>
    <t xml:space="preserve">Paket aus 2 Objekten, 21 Zimmer</t>
  </si>
  <si>
    <t xml:space="preserve">3 WE, Bj. 1894, gepflegt, vollvermietet</t>
  </si>
  <si>
    <t xml:space="preserve">Median der Angebote</t>
  </si>
  <si>
    <t xml:space="preserve">PORTAL-DURCHSCHNITTE DELITZSCH</t>
  </si>
  <si>
    <t xml:space="preserve">Häuser Baujahr bis 1969</t>
  </si>
  <si>
    <t xml:space="preserve">immoportal, 01.08.2026</t>
  </si>
  <si>
    <t xml:space="preserve">Mehrfamilienhäuser (alle Baujahre)</t>
  </si>
  <si>
    <t xml:space="preserve">Wohnungen Baujahr bis 1969</t>
  </si>
  <si>
    <t xml:space="preserve">Häuser gesamt</t>
  </si>
  <si>
    <t xml:space="preserve">Engel &amp; Völkers, 02.06.2026</t>
  </si>
  <si>
    <t xml:space="preserve">homeday Preisatlas, Q4/2024</t>
  </si>
  <si>
    <t xml:space="preserve">PREISBRÜCKE — vom Delitzscher Marktpreis zum Angebotspreis</t>
  </si>
  <si>
    <t xml:space="preserve">Schritt</t>
  </si>
  <si>
    <t xml:space="preserve">Abschlag</t>
  </si>
  <si>
    <t xml:space="preserve">Begründung</t>
  </si>
  <si>
    <t xml:space="preserve">Median MFH-Angebot Delitzsch</t>
  </si>
  <si>
    <t xml:space="preserve">Ausgangspunkt</t>
  </si>
  <si>
    <t xml:space="preserve">./. Verhandlungsabschlag Angebot → Abschluss</t>
  </si>
  <si>
    <t xml:space="preserve">Angebotspreise liegen regelmäßig über den realisierten Kaufpreisen</t>
  </si>
  <si>
    <t xml:space="preserve">./. Abschlag mittlerer statt sanierter Zustand</t>
  </si>
  <si>
    <t xml:space="preserve">Bestandsimmobilie mit Instandhaltungsbedarf in den Leerstandsflächen</t>
  </si>
  <si>
    <t xml:space="preserve">./. Abschlag Leerstand und Gewerbeanteil</t>
  </si>
  <si>
    <t xml:space="preserve">34,3 % Leerstand, überwiegend schwer vermietbares Gewerbe</t>
  </si>
  <si>
    <t xml:space="preserve">Rechnerischer Zielwert</t>
  </si>
  <si>
    <t xml:space="preserve">Angesetzt: Paketpreis je m² Mietfläche</t>
  </si>
  <si>
    <t xml:space="preserve">Abstand zum Zielwert</t>
  </si>
  <si>
    <t xml:space="preserve">MIETNIVEAU DELITZSCH</t>
  </si>
  <si>
    <t xml:space="preserve">Kennzahl</t>
  </si>
  <si>
    <t xml:space="preserve">Quelle</t>
  </si>
  <si>
    <t xml:space="preserve">Bestandsmiete Delitzsch, Durchschnitt</t>
  </si>
  <si>
    <t xml:space="preserve">Zensus 2022, Statistisches Landesamt Sachsen</t>
  </si>
  <si>
    <t xml:space="preserve">Angebotsmiete Delitzsch, untere Grenze</t>
  </si>
  <si>
    <t xml:space="preserve">mietpreise.info, 09/2025</t>
  </si>
  <si>
    <t xml:space="preserve">Angebotsmiete Altbau bis 1969</t>
  </si>
  <si>
    <t xml:space="preserve">immoportal, 2026</t>
  </si>
  <si>
    <t xml:space="preserve">Angebotsmiete Delitzsch, obere Grenze</t>
  </si>
  <si>
    <t xml:space="preserve">miet-check, 2026</t>
  </si>
  <si>
    <t xml:space="preserve">Dieses Portfolio, IST auf vermietete Fläche</t>
  </si>
  <si>
    <t xml:space="preserve">eigene Berechnung</t>
  </si>
  <si>
    <t xml:space="preserve">Dieses Portfolio, SOLL</t>
  </si>
  <si>
    <t xml:space="preserve">nach angekündigten Erhöhungen</t>
  </si>
  <si>
    <t xml:space="preserve">Delitzsch unterliegt weder der Mietpreisbremse noch der abgesenkten Kappungsgrenze — die Sächsische Mietpreisbegrenzungsverordnung erfasst nur Dresden und Leipzig. Ein qualifizierter Mietspiegel für Delitzsch existiert nicht; Mieterhöhungen sind über Vergleichswohnungen oder Gutachten zu begründen.</t>
  </si>
  <si>
    <t xml:space="preserve">Ausbaupotenzial — Investition, Ertrag, Rendite</t>
  </si>
  <si>
    <t xml:space="preserve">Wohnfläche, Baukosten und Miete kommen aus dem Blatt Annahmen. Alle übrigen Zellen sind Formeln.</t>
  </si>
  <si>
    <t xml:space="preserve">Bauwerkskosten</t>
  </si>
  <si>
    <t xml:space="preserve">Baunebenkosten</t>
  </si>
  <si>
    <t xml:space="preserve">Abriss + Stellplätze</t>
  </si>
  <si>
    <t xml:space="preserve">€/m² gesamt</t>
  </si>
  <si>
    <t xml:space="preserve">Miete €/m²</t>
  </si>
  <si>
    <t xml:space="preserve">brutto</t>
  </si>
  <si>
    <t xml:space="preserve">netto</t>
  </si>
  <si>
    <t xml:space="preserve">VERGLEICH: BESTAND GEGEN AUSBAU</t>
  </si>
  <si>
    <t xml:space="preserve">Investition</t>
  </si>
  <si>
    <t xml:space="preserve">Nettoanfangsrendite</t>
  </si>
  <si>
    <t xml:space="preserve">Bestand IST</t>
  </si>
  <si>
    <t xml:space="preserve">Bestand SOLL</t>
  </si>
  <si>
    <t xml:space="preserve">Bestand bei Vollvermietung</t>
  </si>
  <si>
    <t xml:space="preserve">Vollvermietung + alle Ausbaumodule</t>
  </si>
  <si>
    <t xml:space="preserve">Befund: Keines der Ausbaumodule erreicht die Rendite des Bestands. Der Ausbau hebt Volumen, Substanz und — bei den beiden Denkmalobjekten — den Steuereffekt, nicht die Rendite. Der schnellste Weg zu 7–8 % führt über die Vermietung der Leerstandsflächen.</t>
  </si>
  <si>
    <t xml:space="preserve">Planung bis Baugenehmigung — ohne Bauüberwachung und Ausführung</t>
  </si>
  <si>
    <t xml:space="preserve">Architekt Leistungsphasen 1–4 nach § 34 HOAI: Grundlagenermittlung 2 %, Vorplanung 7 %, Entwurfsplanung 15 %, Genehmigungsplanung 3 % = 27 % des Gesamthonorars.</t>
  </si>
  <si>
    <t xml:space="preserve">€ netto</t>
  </si>
  <si>
    <t xml:space="preserve">€ brutto</t>
  </si>
  <si>
    <t xml:space="preserve">Architekt, Leistungsphasen 1–4 (HOAI § 34)</t>
  </si>
  <si>
    <t xml:space="preserve">HOAI-Honorartafel § 35, Honorarzone III, interpoliert</t>
  </si>
  <si>
    <t xml:space="preserve">Tragwerksplanung LPH 1–4 (58 % nach § 51 HOAI)</t>
  </si>
  <si>
    <t xml:space="preserve">1,5 % der Bauwerkskosten als Gesamthonorar angesetzt</t>
  </si>
  <si>
    <t xml:space="preserve">Brandschutznachweis bzw. -konzept</t>
  </si>
  <si>
    <t xml:space="preserve">Standardnachweis Neubau</t>
  </si>
  <si>
    <t xml:space="preserve">Amtlicher Lageplan, Vermessung</t>
  </si>
  <si>
    <t xml:space="preserve">ÖbVI</t>
  </si>
  <si>
    <t xml:space="preserve">Baugenehmigungsgebühr</t>
  </si>
  <si>
    <t xml:space="preserve">10. SächsKVZ 4.1.2: 6.50 € je 1.000 € Rohbausumme (1.707 m³ BRI × 188 €/m³)</t>
  </si>
  <si>
    <t xml:space="preserve">GEG-Nachweis / Energieausweis</t>
  </si>
  <si>
    <t xml:space="preserve">Bodengutachten</t>
  </si>
  <si>
    <t xml:space="preserve">Altlastenrecherche</t>
  </si>
  <si>
    <t xml:space="preserve">innerstädtische Vornutzung</t>
  </si>
  <si>
    <t xml:space="preserve">Summe netto</t>
  </si>
  <si>
    <t xml:space="preserve">entspricht 4,97 % der Bauwerkskosten</t>
  </si>
  <si>
    <t xml:space="preserve">Prozentansatz 15 % der Bauwerkskosten (unterhalb der Tafel-Stützstellen; kleine Bestandsprojekte)</t>
  </si>
  <si>
    <t xml:space="preserve">Denkmal mit Abweichungsantrag am oberen Rand</t>
  </si>
  <si>
    <t xml:space="preserve">10. SächsKVZ 4.1.2: 6.50 € je 1.000 € Rohbausumme (420 m³ BRI × 188 €/m³)</t>
  </si>
  <si>
    <t xml:space="preserve">Bescheinigung § 7i EStG</t>
  </si>
  <si>
    <t xml:space="preserve">0,3 % der bescheinigten Summe, Landkreis Nordsachsen</t>
  </si>
  <si>
    <t xml:space="preserve">entspricht 8,41 % der Bauwerkskosten</t>
  </si>
  <si>
    <t xml:space="preserve">10. SächsKVZ 4.1.2: 6.50 € je 1.000 € Rohbausumme (273 m³ BRI × 188 €/m³)</t>
  </si>
  <si>
    <t xml:space="preserve">entspricht 9,50 % der Bauwerkskosten</t>
  </si>
  <si>
    <t xml:space="preserve">GESAMT ALLE DREI MODULE</t>
  </si>
  <si>
    <t xml:space="preserve">Architektenhonorar LPH 1–4</t>
  </si>
  <si>
    <t xml:space="preserve">HOAI § 34 Abs. 3, Anlage 10</t>
  </si>
  <si>
    <t xml:space="preserve">Planung bis Baugenehmigung gesamt</t>
  </si>
  <si>
    <t xml:space="preserve">inkl. Statik, Brandschutz, Vermessung, Gebühren, Gutachten</t>
  </si>
  <si>
    <t xml:space="preserve">Seit der HOAI-Novelle 2021 sind Architektenhonorare frei verhandelbar; die Honorartafel ist nur noch Orientierung und gesetzliche Auffanglösung nach § 7 HOAI. Bei kleinen Bestandsprojekten wird in der Praxis häufig ein Pauschal- oder Zeithonorar vereinbart (120–160 €/h Inhaber, 90–120 €/h Mitarbeiter).</t>
  </si>
  <si>
    <t xml:space="preserve">Alle Kaufangebote in Delitzsch — Stand 07.08.2026</t>
  </si>
  <si>
    <t xml:space="preserve">Vollerhebung über ImmoScout24 und Immowelt (Apify). Doppelinserate zusammengefasst. Angebotspreise, keine Abschlüsse — realisierte Kaufpreise liegen 8–15 % darunter.</t>
  </si>
  <si>
    <t xml:space="preserve">Angebot</t>
  </si>
  <si>
    <t xml:space="preserve">Objektart</t>
  </si>
  <si>
    <t xml:space="preserve">m² WF</t>
  </si>
  <si>
    <t xml:space="preserve">Portal</t>
  </si>
  <si>
    <t xml:space="preserve">Mehrfamilienhaus zum Kauf - Delitzsch - 120.000 € - 8 Zimmer, 450 m², 580 m² Grundstück, frei ab sofort</t>
  </si>
  <si>
    <t xml:space="preserve">Mehrfamilienhaus</t>
  </si>
  <si>
    <t xml:space="preserve">Immowelt</t>
  </si>
  <si>
    <t xml:space="preserve">** LASSEN SIE IHREN TRAUM VOM EIGENHEIM WAHR WERDEN **</t>
  </si>
  <si>
    <t xml:space="preserve">housebuy</t>
  </si>
  <si>
    <t xml:space="preserve">ImmoScout24</t>
  </si>
  <si>
    <t xml:space="preserve">Lagerhalle zum Kauf - Delitzsch - 2.850.000 € - 4.000 m² Lagerfläche, teilbar ab 4.000 m²</t>
  </si>
  <si>
    <t xml:space="preserve">Reihenendhaus mit Potenzial zum Selbstausbau in Delitzsch</t>
  </si>
  <si>
    <t xml:space="preserve">Großes Einfamilienhaus oder Zweifamilienhaus</t>
  </si>
  <si>
    <t xml:space="preserve">Einfamilienhaus</t>
  </si>
  <si>
    <t xml:space="preserve">Saniertes Mehrfamilienhaus in zentraler Lage von Delitzsch bei Leipzig</t>
  </si>
  <si>
    <t xml:space="preserve">ImmoScout24 + Immowelt</t>
  </si>
  <si>
    <t xml:space="preserve">Kapitalanlage mit 6,99% Rendite – aufgeteiltes MFH in ruhiger Lage von Delitzsch</t>
  </si>
  <si>
    <t xml:space="preserve">Voll vermietetes MFH - sichere Mieteinnahmen - 5,6% IST-Rendite!</t>
  </si>
  <si>
    <t xml:space="preserve">Reihenmittelhaus in zentraler Lage</t>
  </si>
  <si>
    <t xml:space="preserve">Gepflegte Einheit mit großzügiger Terrasse in ruhiger Lage, Delitzsch</t>
  </si>
  <si>
    <t xml:space="preserve">apartmentbuy</t>
  </si>
  <si>
    <t xml:space="preserve">Attraktive Kapitalanlage: Mehrfamilienhaus mit Entwicklungsmöglichkeiten</t>
  </si>
  <si>
    <t xml:space="preserve">Voll Vermietetes Mehrfamilienhaus mit 10 Wohnungen - 2016 komplett saniert</t>
  </si>
  <si>
    <t xml:space="preserve">Leerstehend | Balkon | Einbauküche | Toll geschnitten</t>
  </si>
  <si>
    <t xml:space="preserve">Immobilienpaket mit Potential | Zwei Mehrfamilienhäuser zur freien Verfügung in Delitzsch</t>
  </si>
  <si>
    <t xml:space="preserve">3 Zimmer Wohnung I Tageslichtbad I in Delitzsch</t>
  </si>
  <si>
    <t xml:space="preserve">Yield 5% and high cash flow, rented long-term</t>
  </si>
  <si>
    <t xml:space="preserve">GEPFLEGTES MEHRFAMILIENHAUS MIT 3 WOHNUNGEN (VERMIETET) mit 4,99 % RENDITE</t>
  </si>
  <si>
    <t xml:space="preserve">Bezugsfrei | Großzügiges Apartment | Balkon | praktischer Grundriss | gute zentrale Lage</t>
  </si>
  <si>
    <t xml:space="preserve">Gepflegte Erdgeschosswohnung im Grünen- frei ab 01.07.26</t>
  </si>
  <si>
    <t xml:space="preserve">Zentrumsnahe großzügige 2RW am Stadtpark in ruhiger Lage</t>
  </si>
  <si>
    <t xml:space="preserve">Wohnen und Arbeiten! Schönes Hinterhaus mit geräumigen Nebengelassen!</t>
  </si>
  <si>
    <t xml:space="preserve">182 m² Wohnfläche + 74 m² Gewerbefläche im Erdgeschoss I Einliegerwohnung-Wohnung im DG</t>
  </si>
  <si>
    <t xml:space="preserve">Saniertes Fachwerkhaus mit Charme – zentrumsnah in Delitzsch!</t>
  </si>
  <si>
    <t xml:space="preserve">Renditestarkes Doppeltes Lottchen ... Zwei vermietete Wohnungen in denkmalgeschützter Wohnanlage</t>
  </si>
  <si>
    <t xml:space="preserve">Kapitalanlage mit Flair  ... 2,5% AfA - Vermietete 2-Zimmer-Wohnung mit Balkon</t>
  </si>
  <si>
    <t xml:space="preserve">1-2-Familienwohnen! | Großzügige DHH mit zahlreichen Nebengelassen, Solarthermie und Garagen</t>
  </si>
  <si>
    <t xml:space="preserve">Leerstehend | 4-Raum-Wohnung | Balkon | Loggia | TG-Stellplatz | Toplage</t>
  </si>
  <si>
    <t xml:space="preserve">Einfamilienhaus zum Kauf - Delitzsch - 245.000 € - 4 Zimmer, 105,4 m², 653 m² Grundstück</t>
  </si>
  <si>
    <t xml:space="preserve">Modernisiert und voller Möglichkeiten – Einfamilienhaus mit großem Garten in Delitzsch</t>
  </si>
  <si>
    <t xml:space="preserve">Wunderschöne 3RW | Balkon | Am Stadtpark | ruhige &amp; zentrumsnahe Lage</t>
  </si>
  <si>
    <t xml:space="preserve">Vielseitiges Wohnensemble | Zwei Häuser für Mehrgenerationen, Wohnen mit Arbeiten oder Vermietung</t>
  </si>
  <si>
    <t xml:space="preserve">Kapitalanlage oder Mehrgenerationenwohnen: Flexibles MFH mit 3 Einheiten</t>
  </si>
  <si>
    <t xml:space="preserve">Wohnen mit Wohlfühlfaktor - Einfamilienhaus auf großzügigem Grundstück mit Pool</t>
  </si>
  <si>
    <t xml:space="preserve">Grundstück</t>
  </si>
  <si>
    <t xml:space="preserve">++ Familienidylle am Stadtpark – moderne Doppelhaushälfte mit Dachterrasse und großem Wohnkomfort ++</t>
  </si>
  <si>
    <t xml:space="preserve">Doppelhaushälfte</t>
  </si>
  <si>
    <t xml:space="preserve">Zukunftssicher wohnen: Ebenerdiger und barrierefreier Bungalow mit Photovoltaik</t>
  </si>
  <si>
    <t xml:space="preserve">Liebevoll modernisierte Doppelhaushälfte mit Pool, Kamin und viel Platz zum Leben</t>
  </si>
  <si>
    <t xml:space="preserve">Haus zum Kauf - Delitzsch - 525.350 € - 5 Zimmer, 142 m², 590 m² Grundstück</t>
  </si>
  <si>
    <t xml:space="preserve">Haus</t>
  </si>
  <si>
    <t xml:space="preserve">Haus zum Kauf - Delitzsch - 587.448 € - 5 Zimmer, 154 m², 450 m² Grundstück</t>
  </si>
  <si>
    <t xml:space="preserve">Haus zum Kauf - Delitzsch - 442.639 € - 4 Zimmer, 113 m², 453 m² Grundstück</t>
  </si>
  <si>
    <t xml:space="preserve">Haus zum Kauf - Delitzsch - 504.100 € - 5 Zimmer, 126 m², 450 m² Grundstück</t>
  </si>
  <si>
    <t xml:space="preserve">Haus zum Kauf - Delitzsch - 525.350 € - 4 Zimmer, 130 m², 450 m² Grundstück</t>
  </si>
  <si>
    <t xml:space="preserve">Wohnen im Hinterhaus, Rendite im Vorderhaus – attraktives Immobilienensemble zentral in Delitzsch</t>
  </si>
  <si>
    <t xml:space="preserve">Grundstück zum Kauf - Delitzsch - 105.500 € - 422 m² Grundstück</t>
  </si>
  <si>
    <t xml:space="preserve">Grundstück zum Kauf - Delitzsch - 79.250 € - 317 m² Grundstück</t>
  </si>
  <si>
    <t xml:space="preserve">Landwirtschaftliche Fläche zum Kauf - Wiedemar - 560.000 € - 148.370 m² Grundstück</t>
  </si>
  <si>
    <t xml:space="preserve">Landwirtschaft</t>
  </si>
  <si>
    <t xml:space="preserve">Grundstück zum Kauf - Delitzsch - 93.500 € - 374 m² Grundstück</t>
  </si>
  <si>
    <t xml:space="preserve">STATISTIK NACH OBJEKTART</t>
  </si>
  <si>
    <t xml:space="preserve">Anzahl</t>
  </si>
  <si>
    <t xml:space="preserve">Minimum €/m²</t>
  </si>
  <si>
    <t xml:space="preserve">Median €/m²</t>
  </si>
  <si>
    <t xml:space="preserve">Mittel €/m²</t>
  </si>
  <si>
    <t xml:space="preserve">Maximum €/m²</t>
  </si>
  <si>
    <t xml:space="preserve">{=MIN(IF($B$5:$B$50=A54,IF($D$5:$D$50&gt;0,$E$5:$E$50)))}</t>
  </si>
  <si>
    <t xml:space="preserve">{=MIN(IF($B$5:$B$50=A55,IF($D$5:$D$50&gt;0,$E$5:$E$50)))}</t>
  </si>
  <si>
    <t xml:space="preserve">{=MIN(IF($B$5:$B$50=A56,IF($D$5:$D$50&gt;0,$E$5:$E$50)))}</t>
  </si>
  <si>
    <t xml:space="preserve">{=MIN(IF($B$5:$B$50=A57,IF($D$5:$D$50&gt;0,$E$5:$E$50)))}</t>
  </si>
  <si>
    <t xml:space="preserve">{=MIN(IF($B$5:$B$50=A58,IF($D$5:$D$50&gt;0,$E$5:$E$50)))}</t>
  </si>
  <si>
    <t xml:space="preserve">Vergleich: Paketpreis je m² Mietfläche</t>
  </si>
</sst>
</file>

<file path=xl/styles.xml><?xml version="1.0" encoding="utf-8"?>
<styleSheet xmlns="http://schemas.openxmlformats.org/spreadsheetml/2006/main">
  <numFmts count="13">
    <numFmt numFmtId="164" formatCode="General"/>
    <numFmt numFmtId="165" formatCode="#,##0&quot; €&quot;;\-#,##0&quot; €&quot;;\–"/>
    <numFmt numFmtId="166" formatCode="0.0%;\-0.0%;\–"/>
    <numFmt numFmtId="167" formatCode="#,##0.00;\-#,##0.00;\–"/>
    <numFmt numFmtId="168" formatCode="#,##0"/>
    <numFmt numFmtId="169" formatCode="#,##0.00&quot; m²&quot;;;\–"/>
    <numFmt numFmtId="170" formatCode="#,##0.00&quot; €&quot;;\-#,##0.00&quot; €&quot;;\–"/>
    <numFmt numFmtId="171" formatCode="0.0\×;;\–"/>
    <numFmt numFmtId="172" formatCode="0.00%;\-0.00%;\–"/>
    <numFmt numFmtId="173" formatCode="0.0&quot; Jahre&quot;"/>
    <numFmt numFmtId="174" formatCode="0.000"/>
    <numFmt numFmtId="175" formatCode="0.00"/>
    <numFmt numFmtId="176" formatCode="#,##0.00"/>
  </numFmts>
  <fonts count="14">
    <font>
      <sz val="11"/>
      <color theme="1"/>
      <name val="Calibri"/>
      <family val="2"/>
      <charset val="1"/>
    </font>
    <font>
      <sz val="10"/>
      <name val="Arial"/>
      <family val="0"/>
    </font>
    <font>
      <sz val="10"/>
      <name val="Arial"/>
      <family val="0"/>
    </font>
    <font>
      <sz val="10"/>
      <name val="Arial"/>
      <family val="0"/>
    </font>
    <font>
      <b val="true"/>
      <sz val="14"/>
      <color rgb="FF8A4C14"/>
      <name val="Arial"/>
      <family val="0"/>
      <charset val="1"/>
    </font>
    <font>
      <i val="true"/>
      <sz val="8"/>
      <color rgb="FF666666"/>
      <name val="Arial"/>
      <family val="0"/>
      <charset val="1"/>
    </font>
    <font>
      <b val="true"/>
      <sz val="11"/>
      <color rgb="FFFFFFFF"/>
      <name val="Arial"/>
      <family val="0"/>
      <charset val="1"/>
    </font>
    <font>
      <sz val="10"/>
      <name val="Arial"/>
      <family val="0"/>
      <charset val="1"/>
    </font>
    <font>
      <sz val="10"/>
      <color rgb="FF0000FF"/>
      <name val="Arial"/>
      <family val="0"/>
      <charset val="1"/>
    </font>
    <font>
      <sz val="8"/>
      <color rgb="FF666666"/>
      <name val="Arial"/>
      <family val="0"/>
      <charset val="1"/>
    </font>
    <font>
      <b val="true"/>
      <sz val="10"/>
      <name val="Arial"/>
      <family val="0"/>
      <charset val="1"/>
    </font>
    <font>
      <sz val="10"/>
      <color rgb="FF008000"/>
      <name val="Arial"/>
      <family val="0"/>
      <charset val="1"/>
    </font>
    <font>
      <i val="true"/>
      <sz val="10"/>
      <color rgb="FF8A8580"/>
      <name val="Arial"/>
      <family val="0"/>
      <charset val="1"/>
    </font>
    <font>
      <sz val="10"/>
      <name val="Arial"/>
      <family val="2"/>
    </font>
  </fonts>
  <fills count="6">
    <fill>
      <patternFill patternType="none"/>
    </fill>
    <fill>
      <patternFill patternType="gray125"/>
    </fill>
    <fill>
      <patternFill patternType="solid">
        <fgColor rgb="FF8A4C14"/>
        <bgColor rgb="FF993366"/>
      </patternFill>
    </fill>
    <fill>
      <patternFill patternType="solid">
        <fgColor rgb="FFFFF2CC"/>
        <bgColor rgb="FFF5E9DA"/>
      </patternFill>
    </fill>
    <fill>
      <patternFill patternType="solid">
        <fgColor rgb="FFF2EFE9"/>
        <bgColor rgb="FFF5E9DA"/>
      </patternFill>
    </fill>
    <fill>
      <patternFill patternType="solid">
        <fgColor rgb="FFF5E9DA"/>
        <bgColor rgb="FFF2EFE9"/>
      </patternFill>
    </fill>
  </fills>
  <borders count="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medium">
        <color rgb="FF8A4C14"/>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8" fillId="3"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6" fontId="8" fillId="3" borderId="1" xfId="0" applyFont="true" applyBorder="true" applyAlignment="false" applyProtection="false">
      <alignment horizontal="general" vertical="bottom" textRotation="0" wrapText="false" indent="0" shrinkToFit="false"/>
      <protection locked="true" hidden="false"/>
    </xf>
    <xf numFmtId="167" fontId="8" fillId="3" borderId="1" xfId="0" applyFont="true" applyBorder="true" applyAlignment="false" applyProtection="false">
      <alignment horizontal="general" vertical="bottom" textRotation="0" wrapText="false" indent="0" shrinkToFit="false"/>
      <protection locked="true" hidden="false"/>
    </xf>
    <xf numFmtId="168" fontId="8" fillId="3"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7" fontId="11" fillId="0" borderId="1"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9" fontId="8" fillId="3" borderId="1" xfId="0" applyFont="true" applyBorder="true" applyAlignment="false" applyProtection="false">
      <alignment horizontal="general" vertical="bottom" textRotation="0" wrapText="false" indent="0" shrinkToFit="false"/>
      <protection locked="true" hidden="false"/>
    </xf>
    <xf numFmtId="170" fontId="8" fillId="3" borderId="1" xfId="0" applyFont="true" applyBorder="true" applyAlignment="false" applyProtection="false">
      <alignment horizontal="general" vertical="bottom" textRotation="0" wrapText="false" indent="0" shrinkToFit="false"/>
      <protection locked="true" hidden="false"/>
    </xf>
    <xf numFmtId="170" fontId="7" fillId="0" borderId="1" xfId="0" applyFont="true" applyBorder="true" applyAlignment="false" applyProtection="false">
      <alignment horizontal="general" vertical="bottom" textRotation="0" wrapText="false" indent="0" shrinkToFit="false"/>
      <protection locked="true" hidden="false"/>
    </xf>
    <xf numFmtId="167" fontId="7" fillId="0" borderId="1" xfId="0" applyFont="true" applyBorder="true" applyAlignment="false" applyProtection="false">
      <alignment horizontal="general" vertical="bottom" textRotation="0" wrapText="fals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9" fontId="10" fillId="4" borderId="1" xfId="0" applyFont="true" applyBorder="true" applyAlignment="false" applyProtection="false">
      <alignment horizontal="general" vertical="bottom" textRotation="0" wrapText="false" indent="0" shrinkToFit="false"/>
      <protection locked="true" hidden="false"/>
    </xf>
    <xf numFmtId="170" fontId="10" fillId="4" borderId="1" xfId="0" applyFont="true" applyBorder="true" applyAlignment="false" applyProtection="false">
      <alignment horizontal="general" vertical="bottom" textRotation="0" wrapText="false" indent="0" shrinkToFit="false"/>
      <protection locked="true" hidden="false"/>
    </xf>
    <xf numFmtId="167" fontId="10" fillId="4" borderId="1" xfId="0" applyFont="tru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4" fontId="10" fillId="5" borderId="2" xfId="0" applyFont="true" applyBorder="true" applyAlignment="false" applyProtection="false">
      <alignment horizontal="general" vertical="bottom" textRotation="0" wrapText="false" indent="0" shrinkToFit="false"/>
      <protection locked="true" hidden="false"/>
    </xf>
    <xf numFmtId="169" fontId="10" fillId="5" borderId="2" xfId="0" applyFont="true" applyBorder="true" applyAlignment="false" applyProtection="false">
      <alignment horizontal="general" vertical="bottom" textRotation="0" wrapText="false" indent="0" shrinkToFit="false"/>
      <protection locked="true" hidden="false"/>
    </xf>
    <xf numFmtId="170" fontId="10" fillId="5" borderId="2" xfId="0" applyFont="true" applyBorder="true" applyAlignment="false" applyProtection="false">
      <alignment horizontal="general" vertical="bottom" textRotation="0" wrapText="false" indent="0" shrinkToFit="false"/>
      <protection locked="true" hidden="false"/>
    </xf>
    <xf numFmtId="167" fontId="10" fillId="5" borderId="2"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9" fontId="11" fillId="0" borderId="1" xfId="0" applyFont="true" applyBorder="true" applyAlignment="false" applyProtection="false">
      <alignment horizontal="general" vertical="bottom" textRotation="0" wrapText="false" indent="0" shrinkToFit="false"/>
      <protection locked="true" hidden="false"/>
    </xf>
    <xf numFmtId="169" fontId="7" fillId="0"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6" fontId="10" fillId="5" borderId="2"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70" fontId="11" fillId="0" borderId="1" xfId="0" applyFont="true" applyBorder="true" applyAlignment="false" applyProtection="false">
      <alignment horizontal="general" vertical="bottom" textRotation="0" wrapText="false" indent="0" shrinkToFit="false"/>
      <protection locked="true" hidden="false"/>
    </xf>
    <xf numFmtId="171" fontId="7" fillId="0" borderId="1" xfId="0" applyFont="true" applyBorder="true" applyAlignment="false" applyProtection="false">
      <alignment horizontal="general" vertical="bottom" textRotation="0" wrapText="false" indent="0" shrinkToFit="false"/>
      <protection locked="true" hidden="false"/>
    </xf>
    <xf numFmtId="172" fontId="7" fillId="0"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5" fontId="10" fillId="4" borderId="1" xfId="0" applyFont="true" applyBorder="true" applyAlignment="false" applyProtection="false">
      <alignment horizontal="general" vertical="bottom" textRotation="0" wrapText="false" indent="0" shrinkToFit="false"/>
      <protection locked="true" hidden="false"/>
    </xf>
    <xf numFmtId="165" fontId="11" fillId="5" borderId="2" xfId="0" applyFont="true" applyBorder="true" applyAlignment="false" applyProtection="false">
      <alignment horizontal="general" vertical="bottom" textRotation="0" wrapText="false" indent="0" shrinkToFit="false"/>
      <protection locked="true" hidden="false"/>
    </xf>
    <xf numFmtId="170" fontId="7" fillId="5" borderId="2" xfId="0" applyFont="true" applyBorder="true" applyAlignment="false" applyProtection="false">
      <alignment horizontal="general" vertical="bottom" textRotation="0" wrapText="false" indent="0" shrinkToFit="false"/>
      <protection locked="true" hidden="false"/>
    </xf>
    <xf numFmtId="171" fontId="10" fillId="5" borderId="2" xfId="0" applyFont="true" applyBorder="true" applyAlignment="false" applyProtection="false">
      <alignment horizontal="general" vertical="bottom" textRotation="0" wrapText="false" indent="0" shrinkToFit="false"/>
      <protection locked="true" hidden="false"/>
    </xf>
    <xf numFmtId="172" fontId="10" fillId="5" borderId="2" xfId="0" applyFont="true" applyBorder="true" applyAlignment="false" applyProtection="false">
      <alignment horizontal="general" vertical="bottom" textRotation="0" wrapText="false" indent="0" shrinkToFit="false"/>
      <protection locked="true" hidden="false"/>
    </xf>
    <xf numFmtId="165" fontId="10" fillId="5" borderId="2"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5" fontId="10" fillId="0"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6" fontId="11" fillId="0" borderId="1" xfId="0" applyFont="true" applyBorder="true" applyAlignment="false" applyProtection="false">
      <alignment horizontal="general" vertical="bottom" textRotation="0" wrapText="false" indent="0" shrinkToFit="false"/>
      <protection locked="true" hidden="false"/>
    </xf>
    <xf numFmtId="164" fontId="10" fillId="5" borderId="1" xfId="0" applyFont="true" applyBorder="true" applyAlignment="false" applyProtection="false">
      <alignment horizontal="general" vertical="bottom" textRotation="0" wrapText="false" indent="0" shrinkToFit="false"/>
      <protection locked="true" hidden="false"/>
    </xf>
    <xf numFmtId="166" fontId="10" fillId="5" borderId="1" xfId="0" applyFont="true" applyBorder="true" applyAlignment="false" applyProtection="false">
      <alignment horizontal="general" vertical="bottom" textRotation="0" wrapText="false" indent="0" shrinkToFit="false"/>
      <protection locked="true" hidden="false"/>
    </xf>
    <xf numFmtId="165" fontId="10" fillId="5" borderId="1" xfId="0" applyFont="true" applyBorder="true" applyAlignment="false" applyProtection="false">
      <alignment horizontal="general" vertical="bottom" textRotation="0" wrapText="false" indent="0" shrinkToFit="false"/>
      <protection locked="true" hidden="false"/>
    </xf>
    <xf numFmtId="173" fontId="7" fillId="0" borderId="1"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74" fontId="7" fillId="0" borderId="1" xfId="0" applyFont="true" applyBorder="true" applyAlignment="false" applyProtection="false">
      <alignment horizontal="general" vertical="bottom" textRotation="0" wrapText="false" indent="0" shrinkToFit="false"/>
      <protection locked="true" hidden="false"/>
    </xf>
    <xf numFmtId="164" fontId="7" fillId="5" borderId="1" xfId="0" applyFont="true" applyBorder="true" applyAlignment="false" applyProtection="false">
      <alignment horizontal="general" vertical="bottom" textRotation="0" wrapText="false" indent="0" shrinkToFit="false"/>
      <protection locked="true" hidden="false"/>
    </xf>
    <xf numFmtId="166" fontId="11" fillId="5" borderId="1" xfId="0" applyFont="true" applyBorder="true" applyAlignment="false" applyProtection="false">
      <alignment horizontal="general" vertical="bottom" textRotation="0" wrapText="false" indent="0" shrinkToFit="false"/>
      <protection locked="true" hidden="false"/>
    </xf>
    <xf numFmtId="165" fontId="7" fillId="5" borderId="1" xfId="0" applyFont="true" applyBorder="true" applyAlignment="false" applyProtection="false">
      <alignment horizontal="general" vertical="bottom" textRotation="0" wrapText="false" indent="0" shrinkToFit="false"/>
      <protection locked="true" hidden="false"/>
    </xf>
    <xf numFmtId="174" fontId="7" fillId="5" borderId="1" xfId="0" applyFont="true" applyBorder="true" applyAlignment="false" applyProtection="false">
      <alignment horizontal="general" vertical="bottom" textRotation="0" wrapText="false" indent="0" shrinkToFit="false"/>
      <protection locked="true" hidden="false"/>
    </xf>
    <xf numFmtId="175" fontId="7" fillId="0" borderId="1" xfId="0" applyFont="true" applyBorder="true" applyAlignment="false" applyProtection="false">
      <alignment horizontal="general" vertical="bottom" textRotation="0" wrapText="fals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xf numFmtId="164" fontId="9" fillId="4" borderId="1" xfId="0" applyFont="true" applyBorder="true" applyAlignment="true" applyProtection="false">
      <alignment horizontal="general" vertical="top" textRotation="0" wrapText="true" indent="0" shrinkToFit="false"/>
      <protection locked="true" hidden="false"/>
    </xf>
    <xf numFmtId="165" fontId="7" fillId="3" borderId="1" xfId="0" applyFont="true" applyBorder="true" applyAlignment="false" applyProtection="false">
      <alignment horizontal="general" vertical="bottom" textRotation="0" wrapText="false" indent="0" shrinkToFit="false"/>
      <protection locked="true" hidden="false"/>
    </xf>
    <xf numFmtId="170" fontId="10" fillId="5" borderId="1" xfId="0" applyFont="true" applyBorder="true" applyAlignment="false" applyProtection="false">
      <alignment horizontal="general" vertical="bottom" textRotation="0" wrapText="false" indent="0" shrinkToFit="false"/>
      <protection locked="true" hidden="false"/>
    </xf>
    <xf numFmtId="164" fontId="9" fillId="5" borderId="1" xfId="0" applyFont="true" applyBorder="true" applyAlignment="true" applyProtection="false">
      <alignment horizontal="general" vertical="top" textRotation="0" wrapText="true" indent="0" shrinkToFit="false"/>
      <protection locked="true" hidden="false"/>
    </xf>
    <xf numFmtId="176" fontId="8" fillId="3"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5" fontId="11" fillId="5" borderId="1" xfId="0" applyFont="true" applyBorder="true" applyAlignment="false" applyProtection="false">
      <alignment horizontal="general" vertical="bottom" textRotation="0" wrapText="false" indent="0" shrinkToFit="false"/>
      <protection locked="true" hidden="false"/>
    </xf>
    <xf numFmtId="167" fontId="11" fillId="5" borderId="1" xfId="0" applyFont="true" applyBorder="true" applyAlignment="false" applyProtection="false">
      <alignment horizontal="general" vertical="bottom" textRotation="0" wrapText="false" indent="0" shrinkToFit="false"/>
      <protection locked="true" hidden="false"/>
    </xf>
    <xf numFmtId="167" fontId="11" fillId="4" borderId="1" xfId="0" applyFont="true" applyBorder="true" applyAlignment="false" applyProtection="false">
      <alignment horizontal="general" vertical="bottom" textRotation="0" wrapText="false" indent="0" shrinkToFit="false"/>
      <protection locked="true" hidden="false"/>
    </xf>
    <xf numFmtId="172" fontId="10" fillId="0" borderId="1" xfId="0" applyFont="true" applyBorder="true" applyAlignment="false" applyProtection="false">
      <alignment horizontal="general" vertical="bottom" textRotation="0" wrapText="false" indent="0" shrinkToFit="false"/>
      <protection locked="true" hidden="false"/>
    </xf>
    <xf numFmtId="170" fontId="11" fillId="5" borderId="1" xfId="0" applyFont="true" applyBorder="true" applyAlignment="false" applyProtection="false">
      <alignment horizontal="general" vertical="bottom" textRotation="0" wrapText="false" indent="0" shrinkToFit="false"/>
      <protection locked="true" hidden="false"/>
    </xf>
    <xf numFmtId="172" fontId="10" fillId="5" borderId="1" xfId="0" applyFont="true" applyBorder="tru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general" vertical="center" textRotation="0" wrapText="true" indent="0" shrinkToFit="false"/>
      <protection locked="true" hidden="false"/>
    </xf>
    <xf numFmtId="170" fontId="10" fillId="0" borderId="1" xfId="0" applyFont="true" applyBorder="true" applyAlignment="false" applyProtection="false">
      <alignment horizontal="general" vertical="bottom" textRotation="0" wrapText="false" indent="0" shrinkToFit="false"/>
      <protection locked="true" hidden="false"/>
    </xf>
    <xf numFmtId="164" fontId="9" fillId="5" borderId="1" xfId="0" applyFont="true" applyBorder="true" applyAlignment="false" applyProtection="false">
      <alignment horizontal="general" vertical="bottom" textRotation="0" wrapText="false" indent="0" shrinkToFit="false"/>
      <protection locked="true" hidden="false"/>
    </xf>
    <xf numFmtId="165" fontId="8" fillId="4" borderId="1" xfId="0" applyFont="true" applyBorder="true" applyAlignment="false" applyProtection="false">
      <alignment horizontal="general" vertical="bottom" textRotation="0" wrapText="false" indent="0" shrinkToFit="false"/>
      <protection locked="true" hidden="false"/>
    </xf>
    <xf numFmtId="169" fontId="8" fillId="4" borderId="1" xfId="0" applyFont="true" applyBorder="true" applyAlignment="false" applyProtection="false">
      <alignment horizontal="general" vertical="bottom" textRotation="0" wrapText="false" indent="0" shrinkToFit="false"/>
      <protection locked="true" hidden="false"/>
    </xf>
    <xf numFmtId="165" fontId="7" fillId="4" borderId="1" xfId="0" applyFont="true" applyBorder="true" applyAlignment="false" applyProtection="false">
      <alignment horizontal="general" vertical="bottom" textRotation="0" wrapText="false" indent="0" shrinkToFit="false"/>
      <protection locked="true" hidden="false"/>
    </xf>
    <xf numFmtId="164" fontId="9" fillId="4" borderId="1" xfId="0" applyFont="true" applyBorder="true" applyAlignment="false" applyProtection="false">
      <alignment horizontal="general" vertical="bottom" textRotation="0" wrapText="false" indent="0" shrinkToFit="false"/>
      <protection locked="true" hidden="false"/>
    </xf>
    <xf numFmtId="168" fontId="7" fillId="5" borderId="1" xfId="0" applyFont="true" applyBorder="true" applyAlignment="false" applyProtection="false">
      <alignment horizontal="general" vertical="bottom" textRotation="0" wrapText="false" indent="0" shrinkToFit="false"/>
      <protection locked="true" hidden="false"/>
    </xf>
    <xf numFmtId="168" fontId="7"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A8580"/>
      <rgbColor rgb="FF9999FF"/>
      <rgbColor rgb="FF993366"/>
      <rgbColor rgb="FFFFF2CC"/>
      <rgbColor rgb="FFF2EFE9"/>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5E9DA"/>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8A4C14"/>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46"/>
    <col collapsed="false" customWidth="true" hidden="false" outlineLevel="0" max="2" min="2" style="0" width="16"/>
    <col collapsed="false" customWidth="true" hidden="false" outlineLevel="0" max="3" min="3" style="0" width="14"/>
    <col collapsed="false" customWidth="true" hidden="false" outlineLevel="0" max="4" min="4" style="0" width="62"/>
  </cols>
  <sheetData>
    <row r="1" customFormat="false" ht="21.75" hidden="false" customHeight="true" outlineLevel="0" collapsed="false">
      <c r="A1" s="1" t="s">
        <v>0</v>
      </c>
    </row>
    <row r="2" customFormat="false" ht="15" hidden="false" customHeight="false" outlineLevel="0" collapsed="false">
      <c r="A2" s="2" t="s">
        <v>1</v>
      </c>
    </row>
    <row r="4" customFormat="false" ht="18" hidden="false" customHeight="true" outlineLevel="0" collapsed="false">
      <c r="A4" s="3" t="s">
        <v>2</v>
      </c>
      <c r="B4" s="3" t="s">
        <v>3</v>
      </c>
      <c r="C4" s="3" t="s">
        <v>4</v>
      </c>
      <c r="D4" s="3" t="s">
        <v>5</v>
      </c>
    </row>
    <row r="5" customFormat="false" ht="15" hidden="false" customHeight="false" outlineLevel="0" collapsed="false">
      <c r="A5" s="4" t="s">
        <v>6</v>
      </c>
      <c r="B5" s="5" t="n">
        <v>610000</v>
      </c>
      <c r="C5" s="6" t="s">
        <v>7</v>
      </c>
      <c r="D5" s="7" t="s">
        <v>8</v>
      </c>
    </row>
    <row r="6" customFormat="false" ht="15" hidden="false" customHeight="false" outlineLevel="0" collapsed="false">
      <c r="A6" s="4" t="s">
        <v>9</v>
      </c>
      <c r="B6" s="5" t="n">
        <v>340000</v>
      </c>
      <c r="C6" s="6" t="s">
        <v>7</v>
      </c>
      <c r="D6" s="7" t="s">
        <v>8</v>
      </c>
    </row>
    <row r="7" customFormat="false" ht="15" hidden="false" customHeight="false" outlineLevel="0" collapsed="false">
      <c r="A7" s="4" t="s">
        <v>10</v>
      </c>
      <c r="B7" s="5" t="n">
        <v>655000</v>
      </c>
      <c r="C7" s="6" t="s">
        <v>7</v>
      </c>
      <c r="D7" s="7" t="s">
        <v>8</v>
      </c>
    </row>
    <row r="8" customFormat="false" ht="15" hidden="false" customHeight="false" outlineLevel="0" collapsed="false">
      <c r="A8" s="4" t="s">
        <v>11</v>
      </c>
      <c r="B8" s="5" t="n">
        <v>1500000</v>
      </c>
      <c r="C8" s="6" t="s">
        <v>7</v>
      </c>
      <c r="D8" s="7" t="s">
        <v>12</v>
      </c>
    </row>
    <row r="9" customFormat="false" ht="15" hidden="false" customHeight="false" outlineLevel="0" collapsed="false">
      <c r="A9" s="3" t="s">
        <v>13</v>
      </c>
      <c r="B9" s="3"/>
      <c r="C9" s="3"/>
      <c r="D9" s="3"/>
    </row>
    <row r="10" customFormat="false" ht="19.4" hidden="false" customHeight="false" outlineLevel="0" collapsed="false">
      <c r="A10" s="4" t="s">
        <v>14</v>
      </c>
      <c r="B10" s="8" t="n">
        <v>0.27</v>
      </c>
      <c r="C10" s="6" t="s">
        <v>15</v>
      </c>
      <c r="D10" s="7" t="s">
        <v>16</v>
      </c>
    </row>
    <row r="11" customFormat="false" ht="15" hidden="false" customHeight="false" outlineLevel="0" collapsed="false">
      <c r="A11" s="4" t="s">
        <v>17</v>
      </c>
      <c r="B11" s="8" t="n">
        <v>0.015</v>
      </c>
      <c r="C11" s="6" t="s">
        <v>18</v>
      </c>
      <c r="D11" s="7" t="s">
        <v>19</v>
      </c>
    </row>
    <row r="12" customFormat="false" ht="19.4" hidden="false" customHeight="false" outlineLevel="0" collapsed="false">
      <c r="A12" s="4" t="s">
        <v>20</v>
      </c>
      <c r="B12" s="9" t="n">
        <v>8</v>
      </c>
      <c r="C12" s="6" t="s">
        <v>21</v>
      </c>
      <c r="D12" s="7" t="s">
        <v>22</v>
      </c>
    </row>
    <row r="13" customFormat="false" ht="15" hidden="false" customHeight="false" outlineLevel="0" collapsed="false">
      <c r="A13" s="4" t="s">
        <v>23</v>
      </c>
      <c r="B13" s="9" t="n">
        <v>8</v>
      </c>
      <c r="C13" s="6" t="s">
        <v>21</v>
      </c>
      <c r="D13" s="7" t="s">
        <v>24</v>
      </c>
    </row>
    <row r="14" customFormat="false" ht="19.4" hidden="false" customHeight="false" outlineLevel="0" collapsed="false">
      <c r="A14" s="4" t="s">
        <v>25</v>
      </c>
      <c r="B14" s="9" t="n">
        <v>5</v>
      </c>
      <c r="C14" s="6" t="s">
        <v>21</v>
      </c>
      <c r="D14" s="7" t="s">
        <v>26</v>
      </c>
    </row>
    <row r="15" customFormat="false" ht="15" hidden="false" customHeight="false" outlineLevel="0" collapsed="false">
      <c r="A15" s="3" t="s">
        <v>27</v>
      </c>
      <c r="B15" s="3"/>
      <c r="C15" s="3"/>
      <c r="D15" s="3"/>
    </row>
    <row r="16" customFormat="false" ht="15" hidden="false" customHeight="false" outlineLevel="0" collapsed="false">
      <c r="A16" s="4" t="s">
        <v>28</v>
      </c>
      <c r="B16" s="8" t="n">
        <v>0.055</v>
      </c>
      <c r="C16" s="6" t="s">
        <v>29</v>
      </c>
      <c r="D16" s="7" t="s">
        <v>30</v>
      </c>
    </row>
    <row r="17" customFormat="false" ht="15" hidden="false" customHeight="false" outlineLevel="0" collapsed="false">
      <c r="A17" s="4" t="s">
        <v>31</v>
      </c>
      <c r="B17" s="8" t="n">
        <v>0.0175</v>
      </c>
      <c r="C17" s="6" t="s">
        <v>29</v>
      </c>
      <c r="D17" s="7" t="s">
        <v>32</v>
      </c>
    </row>
    <row r="18" customFormat="false" ht="15" hidden="false" customHeight="false" outlineLevel="0" collapsed="false">
      <c r="A18" s="4" t="s">
        <v>33</v>
      </c>
      <c r="B18" s="8" t="n">
        <v>0.8</v>
      </c>
      <c r="C18" s="6" t="s">
        <v>34</v>
      </c>
      <c r="D18" s="7" t="s">
        <v>35</v>
      </c>
    </row>
    <row r="19" customFormat="false" ht="15" hidden="false" customHeight="false" outlineLevel="0" collapsed="false">
      <c r="A19" s="4" t="s">
        <v>36</v>
      </c>
      <c r="B19" s="8" t="n">
        <v>0.02</v>
      </c>
      <c r="C19" s="6" t="s">
        <v>18</v>
      </c>
      <c r="D19" s="7" t="s">
        <v>37</v>
      </c>
    </row>
    <row r="20" customFormat="false" ht="15" hidden="false" customHeight="false" outlineLevel="0" collapsed="false">
      <c r="A20" s="4" t="s">
        <v>38</v>
      </c>
      <c r="B20" s="8" t="n">
        <v>0.03</v>
      </c>
      <c r="C20" s="6" t="s">
        <v>29</v>
      </c>
      <c r="D20" s="7" t="s">
        <v>39</v>
      </c>
    </row>
    <row r="21" customFormat="false" ht="15" hidden="false" customHeight="false" outlineLevel="0" collapsed="false">
      <c r="A21" s="4" t="s">
        <v>40</v>
      </c>
      <c r="B21" s="8" t="n">
        <v>0.04</v>
      </c>
      <c r="C21" s="6" t="s">
        <v>29</v>
      </c>
      <c r="D21" s="7" t="s">
        <v>41</v>
      </c>
    </row>
    <row r="22" customFormat="false" ht="15" hidden="false" customHeight="false" outlineLevel="0" collapsed="false">
      <c r="A22" s="4" t="s">
        <v>42</v>
      </c>
      <c r="B22" s="8" t="n">
        <v>0.05</v>
      </c>
      <c r="C22" s="6" t="s">
        <v>29</v>
      </c>
      <c r="D22" s="7" t="s">
        <v>43</v>
      </c>
    </row>
    <row r="23" customFormat="false" ht="15" hidden="false" customHeight="false" outlineLevel="0" collapsed="false">
      <c r="A23" s="3" t="s">
        <v>44</v>
      </c>
      <c r="B23" s="3"/>
      <c r="C23" s="3"/>
      <c r="D23" s="3"/>
    </row>
    <row r="24" customFormat="false" ht="19.4" hidden="false" customHeight="false" outlineLevel="0" collapsed="false">
      <c r="A24" s="4" t="s">
        <v>45</v>
      </c>
      <c r="B24" s="10" t="n">
        <v>480</v>
      </c>
      <c r="C24" s="6" t="s">
        <v>46</v>
      </c>
      <c r="D24" s="7" t="s">
        <v>47</v>
      </c>
    </row>
    <row r="25" customFormat="false" ht="15" hidden="false" customHeight="false" outlineLevel="0" collapsed="false">
      <c r="A25" s="4" t="s">
        <v>48</v>
      </c>
      <c r="B25" s="9" t="n">
        <v>119</v>
      </c>
      <c r="C25" s="6" t="s">
        <v>21</v>
      </c>
      <c r="D25" s="7" t="s">
        <v>49</v>
      </c>
    </row>
    <row r="26" customFormat="false" ht="19.4" hidden="false" customHeight="false" outlineLevel="0" collapsed="false">
      <c r="A26" s="4" t="s">
        <v>50</v>
      </c>
      <c r="B26" s="5" t="n">
        <v>400000</v>
      </c>
      <c r="C26" s="6" t="s">
        <v>7</v>
      </c>
      <c r="D26" s="7" t="s">
        <v>51</v>
      </c>
    </row>
    <row r="27" customFormat="false" ht="15" hidden="false" customHeight="false" outlineLevel="0" collapsed="false">
      <c r="A27" s="4" t="s">
        <v>52</v>
      </c>
      <c r="B27" s="8" t="n">
        <v>0.42</v>
      </c>
      <c r="C27" s="6" t="s">
        <v>29</v>
      </c>
      <c r="D27" s="7" t="s">
        <v>53</v>
      </c>
    </row>
    <row r="28" customFormat="false" ht="15" hidden="false" customHeight="false" outlineLevel="0" collapsed="false">
      <c r="A28" s="4" t="s">
        <v>54</v>
      </c>
      <c r="B28" s="8" t="n">
        <v>0.055</v>
      </c>
      <c r="C28" s="6" t="s">
        <v>29</v>
      </c>
      <c r="D28" s="7" t="s">
        <v>55</v>
      </c>
    </row>
    <row r="29" customFormat="false" ht="15" hidden="false" customHeight="false" outlineLevel="0" collapsed="false">
      <c r="A29" s="4" t="s">
        <v>56</v>
      </c>
      <c r="B29" s="8" t="n">
        <v>0.025</v>
      </c>
      <c r="C29" s="6" t="s">
        <v>18</v>
      </c>
      <c r="D29" s="7" t="s">
        <v>57</v>
      </c>
    </row>
    <row r="30" customFormat="false" ht="15" hidden="false" customHeight="false" outlineLevel="0" collapsed="false">
      <c r="A30" s="4" t="s">
        <v>58</v>
      </c>
      <c r="B30" s="8" t="n">
        <v>0.04</v>
      </c>
      <c r="C30" s="6" t="s">
        <v>29</v>
      </c>
      <c r="D30" s="7" t="s">
        <v>59</v>
      </c>
    </row>
    <row r="32" customFormat="false" ht="15" hidden="false" customHeight="false" outlineLevel="0" collapsed="false">
      <c r="A32" s="11" t="s">
        <v>60</v>
      </c>
    </row>
    <row r="33" customFormat="false" ht="30" hidden="false" customHeight="true" outlineLevel="0" collapsed="false">
      <c r="A33" s="12" t="s">
        <v>61</v>
      </c>
      <c r="B33" s="12" t="s">
        <v>21</v>
      </c>
      <c r="C33" s="12"/>
      <c r="D33" s="12"/>
    </row>
    <row r="34" customFormat="false" ht="15" hidden="false" customHeight="false" outlineLevel="0" collapsed="false">
      <c r="A34" s="4" t="s">
        <v>62</v>
      </c>
      <c r="B34" s="13" t="n">
        <f aca="false">B12</f>
        <v>8</v>
      </c>
    </row>
    <row r="35" customFormat="false" ht="15" hidden="false" customHeight="false" outlineLevel="0" collapsed="false">
      <c r="A35" s="4" t="s">
        <v>63</v>
      </c>
      <c r="B35" s="13" t="n">
        <f aca="false">B13</f>
        <v>8</v>
      </c>
    </row>
    <row r="36" customFormat="false" ht="15" hidden="false" customHeight="false" outlineLevel="0" collapsed="false">
      <c r="A36" s="4" t="s">
        <v>64</v>
      </c>
      <c r="B36" s="13" t="n">
        <f aca="false">B14</f>
        <v>5</v>
      </c>
    </row>
    <row r="38" customFormat="false" ht="25.5" hidden="false" customHeight="true" outlineLevel="0" collapsed="false">
      <c r="A38" s="14" t="s">
        <v>65</v>
      </c>
      <c r="B38" s="14"/>
      <c r="C38" s="14"/>
      <c r="D38" s="14"/>
    </row>
    <row r="40" customFormat="false" ht="15" hidden="false" customHeight="false" outlineLevel="0" collapsed="false">
      <c r="A40" s="3" t="s">
        <v>66</v>
      </c>
      <c r="B40" s="3"/>
      <c r="C40" s="3"/>
      <c r="D40" s="3"/>
    </row>
    <row r="41" customFormat="false" ht="15" hidden="false" customHeight="false" outlineLevel="0" collapsed="false">
      <c r="A41" s="3" t="s">
        <v>67</v>
      </c>
      <c r="B41" s="3" t="s">
        <v>68</v>
      </c>
      <c r="C41" s="3" t="s">
        <v>69</v>
      </c>
      <c r="D41" s="3" t="s">
        <v>70</v>
      </c>
    </row>
    <row r="42" customFormat="false" ht="15" hidden="false" customHeight="false" outlineLevel="0" collapsed="false">
      <c r="A42" s="4" t="s">
        <v>71</v>
      </c>
      <c r="B42" s="15" t="n">
        <v>400</v>
      </c>
      <c r="C42" s="5" t="n">
        <v>3100</v>
      </c>
      <c r="D42" s="9" t="n">
        <v>20</v>
      </c>
    </row>
    <row r="43" customFormat="false" ht="15" hidden="false" customHeight="false" outlineLevel="0" collapsed="false">
      <c r="A43" s="4" t="s">
        <v>72</v>
      </c>
      <c r="B43" s="15" t="n">
        <v>120</v>
      </c>
      <c r="C43" s="5" t="n">
        <v>2800</v>
      </c>
      <c r="D43" s="9" t="n">
        <v>11</v>
      </c>
    </row>
    <row r="44" customFormat="false" ht="15" hidden="false" customHeight="false" outlineLevel="0" collapsed="false">
      <c r="A44" s="4" t="s">
        <v>73</v>
      </c>
      <c r="B44" s="15" t="n">
        <v>78</v>
      </c>
      <c r="C44" s="5" t="n">
        <v>2900</v>
      </c>
      <c r="D44" s="9" t="n">
        <v>11</v>
      </c>
    </row>
    <row r="45" customFormat="false" ht="15" hidden="false" customHeight="true" outlineLevel="0" collapsed="false">
      <c r="A45" s="14" t="s">
        <v>74</v>
      </c>
      <c r="B45" s="14"/>
      <c r="C45" s="14"/>
      <c r="D45" s="14"/>
    </row>
  </sheetData>
  <mergeCells count="2">
    <mergeCell ref="A38:D38"/>
    <mergeCell ref="A45:D4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46"/>
    <col collapsed="false" customWidth="true" hidden="false" outlineLevel="0" max="3" min="2" style="0" width="16"/>
    <col collapsed="false" customWidth="true" hidden="false" outlineLevel="0" max="4" min="4" style="0" width="52"/>
  </cols>
  <sheetData>
    <row r="1" customFormat="false" ht="17.35" hidden="false" customHeight="false" outlineLevel="0" collapsed="false">
      <c r="A1" s="1" t="s">
        <v>375</v>
      </c>
    </row>
    <row r="2" customFormat="false" ht="15" hidden="false" customHeight="false" outlineLevel="0" collapsed="false">
      <c r="A2" s="2" t="s">
        <v>376</v>
      </c>
    </row>
    <row r="4" customFormat="false" ht="26.85" hidden="false" customHeight="false" outlineLevel="0" collapsed="false">
      <c r="A4" s="72" t="s">
        <v>71</v>
      </c>
      <c r="B4" s="72" t="s">
        <v>377</v>
      </c>
      <c r="C4" s="72" t="s">
        <v>378</v>
      </c>
      <c r="D4" s="72" t="s">
        <v>249</v>
      </c>
    </row>
    <row r="5" customFormat="false" ht="15" hidden="false" customHeight="false" outlineLevel="0" collapsed="false">
      <c r="A5" s="4" t="s">
        <v>379</v>
      </c>
      <c r="B5" s="17" t="n">
        <v>42407.64</v>
      </c>
      <c r="C5" s="17" t="n">
        <f aca="false">B5*1.19</f>
        <v>50465.0916</v>
      </c>
      <c r="D5" s="7" t="s">
        <v>380</v>
      </c>
    </row>
    <row r="6" customFormat="false" ht="15" hidden="false" customHeight="false" outlineLevel="0" collapsed="false">
      <c r="A6" s="4" t="s">
        <v>381</v>
      </c>
      <c r="B6" s="16" t="n">
        <v>10788</v>
      </c>
      <c r="C6" s="17" t="n">
        <f aca="false">B6*1.19</f>
        <v>12837.72</v>
      </c>
      <c r="D6" s="7" t="s">
        <v>382</v>
      </c>
    </row>
    <row r="7" customFormat="false" ht="15" hidden="false" customHeight="false" outlineLevel="0" collapsed="false">
      <c r="A7" s="4" t="s">
        <v>383</v>
      </c>
      <c r="B7" s="16" t="n">
        <v>1500</v>
      </c>
      <c r="C7" s="17" t="n">
        <f aca="false">B7*1.19</f>
        <v>1785</v>
      </c>
      <c r="D7" s="7" t="s">
        <v>384</v>
      </c>
    </row>
    <row r="8" customFormat="false" ht="15" hidden="false" customHeight="false" outlineLevel="0" collapsed="false">
      <c r="A8" s="4" t="s">
        <v>385</v>
      </c>
      <c r="B8" s="16" t="n">
        <v>900</v>
      </c>
      <c r="C8" s="17" t="n">
        <f aca="false">B8*1.19</f>
        <v>1071</v>
      </c>
      <c r="D8" s="7" t="s">
        <v>386</v>
      </c>
    </row>
    <row r="9" customFormat="false" ht="19.4" hidden="false" customHeight="false" outlineLevel="0" collapsed="false">
      <c r="A9" s="4" t="s">
        <v>387</v>
      </c>
      <c r="B9" s="16" t="n">
        <v>2086.5</v>
      </c>
      <c r="C9" s="17" t="n">
        <f aca="false">B9*1.19</f>
        <v>2482.935</v>
      </c>
      <c r="D9" s="7" t="s">
        <v>388</v>
      </c>
    </row>
    <row r="10" customFormat="false" ht="15" hidden="false" customHeight="false" outlineLevel="0" collapsed="false">
      <c r="A10" s="4" t="s">
        <v>389</v>
      </c>
      <c r="B10" s="16" t="n">
        <v>1200</v>
      </c>
      <c r="C10" s="17" t="n">
        <f aca="false">B10*1.19</f>
        <v>1428</v>
      </c>
      <c r="D10" s="7"/>
    </row>
    <row r="11" customFormat="false" ht="15" hidden="false" customHeight="false" outlineLevel="0" collapsed="false">
      <c r="A11" s="4" t="s">
        <v>390</v>
      </c>
      <c r="B11" s="16" t="n">
        <v>1800</v>
      </c>
      <c r="C11" s="17" t="n">
        <f aca="false">B11*1.19</f>
        <v>2142</v>
      </c>
      <c r="D11" s="7"/>
    </row>
    <row r="12" customFormat="false" ht="15" hidden="false" customHeight="false" outlineLevel="0" collapsed="false">
      <c r="A12" s="4" t="s">
        <v>391</v>
      </c>
      <c r="B12" s="16" t="n">
        <v>1000</v>
      </c>
      <c r="C12" s="17" t="n">
        <f aca="false">B12*1.19</f>
        <v>1190</v>
      </c>
      <c r="D12" s="7" t="s">
        <v>392</v>
      </c>
    </row>
    <row r="13" customFormat="false" ht="15" hidden="false" customHeight="false" outlineLevel="0" collapsed="false">
      <c r="A13" s="48" t="s">
        <v>393</v>
      </c>
      <c r="B13" s="62" t="n">
        <f aca="false">SUM(B5:B12)</f>
        <v>61682.14</v>
      </c>
      <c r="C13" s="62" t="n">
        <f aca="false">B13*1.19</f>
        <v>73401.7466</v>
      </c>
      <c r="D13" s="48" t="s">
        <v>394</v>
      </c>
    </row>
    <row r="15" customFormat="false" ht="26.85" hidden="false" customHeight="false" outlineLevel="0" collapsed="false">
      <c r="A15" s="72" t="s">
        <v>72</v>
      </c>
      <c r="B15" s="72" t="s">
        <v>377</v>
      </c>
      <c r="C15" s="72" t="s">
        <v>378</v>
      </c>
      <c r="D15" s="72" t="s">
        <v>249</v>
      </c>
    </row>
    <row r="16" customFormat="false" ht="19.4" hidden="false" customHeight="false" outlineLevel="0" collapsed="false">
      <c r="A16" s="4" t="s">
        <v>379</v>
      </c>
      <c r="B16" s="17" t="n">
        <v>16329.6</v>
      </c>
      <c r="C16" s="17" t="n">
        <f aca="false">B16*1.19</f>
        <v>19432.224</v>
      </c>
      <c r="D16" s="7" t="s">
        <v>395</v>
      </c>
    </row>
    <row r="17" customFormat="false" ht="15" hidden="false" customHeight="false" outlineLevel="0" collapsed="false">
      <c r="A17" s="4" t="s">
        <v>381</v>
      </c>
      <c r="B17" s="16" t="n">
        <v>2923.2</v>
      </c>
      <c r="C17" s="17" t="n">
        <f aca="false">B17*1.19</f>
        <v>3478.608</v>
      </c>
      <c r="D17" s="7" t="s">
        <v>382</v>
      </c>
    </row>
    <row r="18" customFormat="false" ht="15" hidden="false" customHeight="false" outlineLevel="0" collapsed="false">
      <c r="A18" s="4" t="s">
        <v>383</v>
      </c>
      <c r="B18" s="16" t="n">
        <v>6000</v>
      </c>
      <c r="C18" s="17" t="n">
        <f aca="false">B18*1.19</f>
        <v>7140</v>
      </c>
      <c r="D18" s="7" t="s">
        <v>396</v>
      </c>
    </row>
    <row r="19" customFormat="false" ht="15" hidden="false" customHeight="false" outlineLevel="0" collapsed="false">
      <c r="A19" s="4" t="s">
        <v>385</v>
      </c>
      <c r="B19" s="16" t="n">
        <v>900</v>
      </c>
      <c r="C19" s="17" t="n">
        <f aca="false">B19*1.19</f>
        <v>1071</v>
      </c>
      <c r="D19" s="7" t="s">
        <v>386</v>
      </c>
    </row>
    <row r="20" customFormat="false" ht="19.4" hidden="false" customHeight="false" outlineLevel="0" collapsed="false">
      <c r="A20" s="4" t="s">
        <v>387</v>
      </c>
      <c r="B20" s="16" t="n">
        <v>513.5</v>
      </c>
      <c r="C20" s="17" t="n">
        <f aca="false">B20*1.19</f>
        <v>611.065</v>
      </c>
      <c r="D20" s="7" t="s">
        <v>397</v>
      </c>
    </row>
    <row r="21" customFormat="false" ht="15" hidden="false" customHeight="false" outlineLevel="0" collapsed="false">
      <c r="A21" s="4" t="s">
        <v>389</v>
      </c>
      <c r="B21" s="16" t="n">
        <v>600</v>
      </c>
      <c r="C21" s="17" t="n">
        <f aca="false">B21*1.19</f>
        <v>714</v>
      </c>
      <c r="D21" s="7"/>
    </row>
    <row r="22" customFormat="false" ht="15" hidden="false" customHeight="false" outlineLevel="0" collapsed="false">
      <c r="A22" s="4" t="s">
        <v>398</v>
      </c>
      <c r="B22" s="16" t="n">
        <v>1008</v>
      </c>
      <c r="C22" s="17" t="n">
        <f aca="false">B22*1.19</f>
        <v>1199.52</v>
      </c>
      <c r="D22" s="7" t="s">
        <v>399</v>
      </c>
    </row>
    <row r="23" customFormat="false" ht="15" hidden="false" customHeight="false" outlineLevel="0" collapsed="false">
      <c r="A23" s="48" t="s">
        <v>393</v>
      </c>
      <c r="B23" s="62" t="n">
        <f aca="false">SUM(B16:B22)</f>
        <v>28274.3</v>
      </c>
      <c r="C23" s="62" t="n">
        <f aca="false">B23*1.19</f>
        <v>33646.417</v>
      </c>
      <c r="D23" s="48" t="s">
        <v>400</v>
      </c>
    </row>
    <row r="25" customFormat="false" ht="15" hidden="false" customHeight="false" outlineLevel="0" collapsed="false">
      <c r="A25" s="72" t="s">
        <v>73</v>
      </c>
      <c r="B25" s="72" t="s">
        <v>377</v>
      </c>
      <c r="C25" s="72" t="s">
        <v>378</v>
      </c>
      <c r="D25" s="72" t="s">
        <v>249</v>
      </c>
    </row>
    <row r="26" customFormat="false" ht="19.4" hidden="false" customHeight="false" outlineLevel="0" collapsed="false">
      <c r="A26" s="4" t="s">
        <v>379</v>
      </c>
      <c r="B26" s="17" t="n">
        <v>10993.32</v>
      </c>
      <c r="C26" s="17" t="n">
        <f aca="false">B26*1.19</f>
        <v>13082.0508</v>
      </c>
      <c r="D26" s="7" t="s">
        <v>395</v>
      </c>
    </row>
    <row r="27" customFormat="false" ht="15" hidden="false" customHeight="false" outlineLevel="0" collapsed="false">
      <c r="A27" s="4" t="s">
        <v>381</v>
      </c>
      <c r="B27" s="16" t="n">
        <v>1967.94</v>
      </c>
      <c r="C27" s="17" t="n">
        <f aca="false">B27*1.19</f>
        <v>2341.8486</v>
      </c>
      <c r="D27" s="7" t="s">
        <v>382</v>
      </c>
    </row>
    <row r="28" customFormat="false" ht="15" hidden="false" customHeight="false" outlineLevel="0" collapsed="false">
      <c r="A28" s="4" t="s">
        <v>383</v>
      </c>
      <c r="B28" s="16" t="n">
        <v>6000</v>
      </c>
      <c r="C28" s="17" t="n">
        <f aca="false">B28*1.19</f>
        <v>7140</v>
      </c>
      <c r="D28" s="7" t="s">
        <v>396</v>
      </c>
    </row>
    <row r="29" customFormat="false" ht="15" hidden="false" customHeight="false" outlineLevel="0" collapsed="false">
      <c r="A29" s="4" t="s">
        <v>385</v>
      </c>
      <c r="B29" s="16" t="n">
        <v>900</v>
      </c>
      <c r="C29" s="17" t="n">
        <f aca="false">B29*1.19</f>
        <v>1071</v>
      </c>
      <c r="D29" s="7" t="s">
        <v>386</v>
      </c>
    </row>
    <row r="30" customFormat="false" ht="19.4" hidden="false" customHeight="false" outlineLevel="0" collapsed="false">
      <c r="A30" s="4" t="s">
        <v>387</v>
      </c>
      <c r="B30" s="16" t="n">
        <v>338</v>
      </c>
      <c r="C30" s="17" t="n">
        <f aca="false">B30*1.19</f>
        <v>402.22</v>
      </c>
      <c r="D30" s="7" t="s">
        <v>401</v>
      </c>
    </row>
    <row r="31" customFormat="false" ht="15" hidden="false" customHeight="false" outlineLevel="0" collapsed="false">
      <c r="A31" s="4" t="s">
        <v>389</v>
      </c>
      <c r="B31" s="16" t="n">
        <v>600</v>
      </c>
      <c r="C31" s="17" t="n">
        <f aca="false">B31*1.19</f>
        <v>714</v>
      </c>
      <c r="D31" s="7"/>
    </row>
    <row r="32" customFormat="false" ht="15" hidden="false" customHeight="false" outlineLevel="0" collapsed="false">
      <c r="A32" s="4" t="s">
        <v>398</v>
      </c>
      <c r="B32" s="16" t="n">
        <v>678.6</v>
      </c>
      <c r="C32" s="17" t="n">
        <f aca="false">B32*1.19</f>
        <v>807.534</v>
      </c>
      <c r="D32" s="7" t="s">
        <v>399</v>
      </c>
    </row>
    <row r="33" customFormat="false" ht="15" hidden="false" customHeight="false" outlineLevel="0" collapsed="false">
      <c r="A33" s="48" t="s">
        <v>393</v>
      </c>
      <c r="B33" s="62" t="n">
        <f aca="false">SUM(B26:B32)</f>
        <v>21477.86</v>
      </c>
      <c r="C33" s="62" t="n">
        <f aca="false">B33*1.19</f>
        <v>25558.6534</v>
      </c>
      <c r="D33" s="48" t="s">
        <v>402</v>
      </c>
    </row>
    <row r="35" customFormat="false" ht="15" hidden="false" customHeight="false" outlineLevel="0" collapsed="false">
      <c r="A35" s="3" t="s">
        <v>403</v>
      </c>
      <c r="B35" s="3"/>
      <c r="C35" s="3"/>
      <c r="D35" s="3"/>
    </row>
    <row r="36" customFormat="false" ht="15" hidden="false" customHeight="false" outlineLevel="0" collapsed="false">
      <c r="A36" s="44" t="s">
        <v>404</v>
      </c>
      <c r="B36" s="73" t="n">
        <v>69730.56</v>
      </c>
      <c r="C36" s="73" t="n">
        <f aca="false">B36*1.19</f>
        <v>82979.3664</v>
      </c>
      <c r="D36" s="6" t="s">
        <v>405</v>
      </c>
    </row>
    <row r="37" customFormat="false" ht="15" hidden="false" customHeight="false" outlineLevel="0" collapsed="false">
      <c r="A37" s="48" t="s">
        <v>406</v>
      </c>
      <c r="B37" s="62" t="n">
        <v>111434.3</v>
      </c>
      <c r="C37" s="62" t="n">
        <f aca="false">B37*1.19</f>
        <v>132606.817</v>
      </c>
      <c r="D37" s="74" t="s">
        <v>407</v>
      </c>
    </row>
    <row r="39" customFormat="false" ht="15" hidden="false" customHeight="true" outlineLevel="0" collapsed="false">
      <c r="A39" s="28" t="s">
        <v>408</v>
      </c>
      <c r="B39" s="28"/>
      <c r="C39" s="28"/>
      <c r="D39" s="28"/>
    </row>
    <row r="40" customFormat="false" ht="15" hidden="false" customHeight="false" outlineLevel="0" collapsed="false">
      <c r="A40" s="28"/>
      <c r="B40" s="28"/>
      <c r="C40" s="28"/>
      <c r="D40" s="28"/>
    </row>
    <row r="41" customFormat="false" ht="15" hidden="false" customHeight="false" outlineLevel="0" collapsed="false">
      <c r="A41" s="28"/>
      <c r="B41" s="28"/>
      <c r="C41" s="28"/>
      <c r="D41" s="28"/>
    </row>
  </sheetData>
  <mergeCells count="1">
    <mergeCell ref="A39:D4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62"/>
    <col collapsed="false" customWidth="true" hidden="false" outlineLevel="0" max="2" min="2" style="0" width="20"/>
    <col collapsed="false" customWidth="true" hidden="false" outlineLevel="0" max="3" min="3" style="0" width="15"/>
    <col collapsed="false" customWidth="true" hidden="false" outlineLevel="0" max="5" min="4" style="0" width="12"/>
    <col collapsed="false" customWidth="true" hidden="false" outlineLevel="0" max="6" min="6" style="0" width="14"/>
  </cols>
  <sheetData>
    <row r="1" customFormat="false" ht="17.35" hidden="false" customHeight="false" outlineLevel="0" collapsed="false">
      <c r="A1" s="1" t="s">
        <v>409</v>
      </c>
    </row>
    <row r="2" customFormat="false" ht="15" hidden="false" customHeight="false" outlineLevel="0" collapsed="false">
      <c r="A2" s="2" t="s">
        <v>410</v>
      </c>
    </row>
    <row r="4" customFormat="false" ht="15" hidden="false" customHeight="false" outlineLevel="0" collapsed="false">
      <c r="A4" s="3" t="s">
        <v>411</v>
      </c>
      <c r="B4" s="3" t="s">
        <v>412</v>
      </c>
      <c r="C4" s="3" t="s">
        <v>309</v>
      </c>
      <c r="D4" s="3" t="s">
        <v>413</v>
      </c>
      <c r="E4" s="3" t="s">
        <v>21</v>
      </c>
      <c r="F4" s="3" t="s">
        <v>414</v>
      </c>
    </row>
    <row r="5" customFormat="false" ht="15" hidden="false" customHeight="false" outlineLevel="0" collapsed="false">
      <c r="A5" s="59" t="s">
        <v>415</v>
      </c>
      <c r="B5" s="59" t="s">
        <v>416</v>
      </c>
      <c r="C5" s="75" t="n">
        <v>120000</v>
      </c>
      <c r="D5" s="76" t="n">
        <v>450</v>
      </c>
      <c r="E5" s="77" t="n">
        <f aca="false">IF(D5&gt;0,C5/D5,"–")</f>
        <v>266.666666666667</v>
      </c>
      <c r="F5" s="78" t="s">
        <v>417</v>
      </c>
    </row>
    <row r="6" customFormat="false" ht="15" hidden="false" customHeight="false" outlineLevel="0" collapsed="false">
      <c r="A6" s="4" t="s">
        <v>418</v>
      </c>
      <c r="B6" s="4" t="s">
        <v>419</v>
      </c>
      <c r="C6" s="5" t="n">
        <v>99000</v>
      </c>
      <c r="D6" s="15" t="n">
        <v>336</v>
      </c>
      <c r="E6" s="37" t="n">
        <f aca="false">IF(D6&gt;0,C6/D6,"–")</f>
        <v>294.642857142857</v>
      </c>
      <c r="F6" s="6" t="s">
        <v>420</v>
      </c>
    </row>
    <row r="7" customFormat="false" ht="15" hidden="false" customHeight="false" outlineLevel="0" collapsed="false">
      <c r="A7" s="4" t="s">
        <v>421</v>
      </c>
      <c r="B7" s="4" t="s">
        <v>93</v>
      </c>
      <c r="C7" s="5" t="n">
        <v>2850000</v>
      </c>
      <c r="D7" s="15" t="n">
        <v>4000</v>
      </c>
      <c r="E7" s="37" t="n">
        <f aca="false">IF(D7&gt;0,C7/D7,"–")</f>
        <v>712.5</v>
      </c>
      <c r="F7" s="6" t="s">
        <v>417</v>
      </c>
    </row>
    <row r="8" customFormat="false" ht="15" hidden="false" customHeight="false" outlineLevel="0" collapsed="false">
      <c r="A8" s="4" t="s">
        <v>422</v>
      </c>
      <c r="B8" s="4" t="s">
        <v>419</v>
      </c>
      <c r="C8" s="5" t="n">
        <v>59000</v>
      </c>
      <c r="D8" s="15" t="n">
        <v>81</v>
      </c>
      <c r="E8" s="37" t="n">
        <f aca="false">IF(D8&gt;0,C8/D8,"–")</f>
        <v>728.395061728395</v>
      </c>
      <c r="F8" s="6" t="s">
        <v>420</v>
      </c>
    </row>
    <row r="9" customFormat="false" ht="15" hidden="false" customHeight="false" outlineLevel="0" collapsed="false">
      <c r="A9" s="4" t="s">
        <v>423</v>
      </c>
      <c r="B9" s="4" t="s">
        <v>424</v>
      </c>
      <c r="C9" s="5" t="n">
        <v>380000</v>
      </c>
      <c r="D9" s="15" t="n">
        <v>360</v>
      </c>
      <c r="E9" s="37" t="n">
        <f aca="false">IF(D9&gt;0,C9/D9,"–")</f>
        <v>1055.55555555556</v>
      </c>
      <c r="F9" s="6" t="s">
        <v>420</v>
      </c>
    </row>
    <row r="10" customFormat="false" ht="15" hidden="false" customHeight="false" outlineLevel="0" collapsed="false">
      <c r="A10" s="59" t="s">
        <v>425</v>
      </c>
      <c r="B10" s="59" t="s">
        <v>416</v>
      </c>
      <c r="C10" s="75" t="n">
        <v>449000</v>
      </c>
      <c r="D10" s="76" t="n">
        <v>379</v>
      </c>
      <c r="E10" s="77" t="n">
        <f aca="false">IF(D10&gt;0,C10/D10,"–")</f>
        <v>1184.69656992084</v>
      </c>
      <c r="F10" s="78" t="s">
        <v>426</v>
      </c>
    </row>
    <row r="11" customFormat="false" ht="15" hidden="false" customHeight="false" outlineLevel="0" collapsed="false">
      <c r="A11" s="4" t="s">
        <v>427</v>
      </c>
      <c r="B11" s="4" t="s">
        <v>419</v>
      </c>
      <c r="C11" s="5" t="n">
        <v>650000</v>
      </c>
      <c r="D11" s="15" t="n">
        <v>529</v>
      </c>
      <c r="E11" s="37" t="n">
        <f aca="false">IF(D11&gt;0,C11/D11,"–")</f>
        <v>1228.73345935728</v>
      </c>
      <c r="F11" s="6" t="s">
        <v>420</v>
      </c>
    </row>
    <row r="12" customFormat="false" ht="15" hidden="false" customHeight="false" outlineLevel="0" collapsed="false">
      <c r="A12" s="4" t="s">
        <v>428</v>
      </c>
      <c r="B12" s="4" t="s">
        <v>419</v>
      </c>
      <c r="C12" s="5" t="n">
        <v>899900</v>
      </c>
      <c r="D12" s="15" t="n">
        <v>683</v>
      </c>
      <c r="E12" s="37" t="n">
        <f aca="false">IF(D12&gt;0,C12/D12,"–")</f>
        <v>1317.56954612006</v>
      </c>
      <c r="F12" s="6" t="s">
        <v>420</v>
      </c>
    </row>
    <row r="13" customFormat="false" ht="15" hidden="false" customHeight="false" outlineLevel="0" collapsed="false">
      <c r="A13" s="4" t="s">
        <v>429</v>
      </c>
      <c r="B13" s="4" t="s">
        <v>419</v>
      </c>
      <c r="C13" s="5" t="n">
        <v>205900</v>
      </c>
      <c r="D13" s="15" t="n">
        <v>152</v>
      </c>
      <c r="E13" s="37" t="n">
        <f aca="false">IF(D13&gt;0,C13/D13,"–")</f>
        <v>1354.60526315789</v>
      </c>
      <c r="F13" s="6" t="s">
        <v>420</v>
      </c>
    </row>
    <row r="14" customFormat="false" ht="15" hidden="false" customHeight="false" outlineLevel="0" collapsed="false">
      <c r="A14" s="4" t="s">
        <v>430</v>
      </c>
      <c r="B14" s="4" t="s">
        <v>431</v>
      </c>
      <c r="C14" s="5" t="n">
        <v>61500</v>
      </c>
      <c r="D14" s="15" t="n">
        <v>43.63</v>
      </c>
      <c r="E14" s="37" t="n">
        <f aca="false">IF(D14&gt;0,C14/D14,"–")</f>
        <v>1409.58056383223</v>
      </c>
      <c r="F14" s="6" t="s">
        <v>420</v>
      </c>
    </row>
    <row r="15" customFormat="false" ht="15" hidden="false" customHeight="false" outlineLevel="0" collapsed="false">
      <c r="A15" s="59" t="s">
        <v>432</v>
      </c>
      <c r="B15" s="59" t="s">
        <v>416</v>
      </c>
      <c r="C15" s="75" t="n">
        <v>440000</v>
      </c>
      <c r="D15" s="76" t="n">
        <v>305</v>
      </c>
      <c r="E15" s="77" t="n">
        <f aca="false">IF(D15&gt;0,C15/D15,"–")</f>
        <v>1442.62295081967</v>
      </c>
      <c r="F15" s="78" t="s">
        <v>420</v>
      </c>
    </row>
    <row r="16" customFormat="false" ht="15" hidden="false" customHeight="false" outlineLevel="0" collapsed="false">
      <c r="A16" s="59" t="s">
        <v>433</v>
      </c>
      <c r="B16" s="59" t="s">
        <v>416</v>
      </c>
      <c r="C16" s="75" t="n">
        <v>999000</v>
      </c>
      <c r="D16" s="76" t="n">
        <v>689</v>
      </c>
      <c r="E16" s="77" t="n">
        <f aca="false">IF(D16&gt;0,C16/D16,"–")</f>
        <v>1449.92743105951</v>
      </c>
      <c r="F16" s="78" t="s">
        <v>420</v>
      </c>
    </row>
    <row r="17" customFormat="false" ht="15" hidden="false" customHeight="false" outlineLevel="0" collapsed="false">
      <c r="A17" s="4" t="s">
        <v>434</v>
      </c>
      <c r="B17" s="4" t="s">
        <v>431</v>
      </c>
      <c r="C17" s="5" t="n">
        <v>88000</v>
      </c>
      <c r="D17" s="15" t="n">
        <v>60</v>
      </c>
      <c r="E17" s="37" t="n">
        <f aca="false">IF(D17&gt;0,C17/D17,"–")</f>
        <v>1466.66666666667</v>
      </c>
      <c r="F17" s="6" t="s">
        <v>426</v>
      </c>
    </row>
    <row r="18" customFormat="false" ht="15" hidden="false" customHeight="false" outlineLevel="0" collapsed="false">
      <c r="A18" s="59" t="s">
        <v>435</v>
      </c>
      <c r="B18" s="59" t="s">
        <v>416</v>
      </c>
      <c r="C18" s="75" t="n">
        <v>740000</v>
      </c>
      <c r="D18" s="76" t="n">
        <v>502</v>
      </c>
      <c r="E18" s="77" t="n">
        <f aca="false">IF(D18&gt;0,C18/D18,"–")</f>
        <v>1474.10358565737</v>
      </c>
      <c r="F18" s="78" t="s">
        <v>420</v>
      </c>
    </row>
    <row r="19" customFormat="false" ht="15" hidden="false" customHeight="false" outlineLevel="0" collapsed="false">
      <c r="A19" s="4" t="s">
        <v>436</v>
      </c>
      <c r="B19" s="4" t="s">
        <v>431</v>
      </c>
      <c r="C19" s="5" t="n">
        <v>89000</v>
      </c>
      <c r="D19" s="15" t="n">
        <v>59</v>
      </c>
      <c r="E19" s="37" t="n">
        <f aca="false">IF(D19&gt;0,C19/D19,"–")</f>
        <v>1508.47457627119</v>
      </c>
      <c r="F19" s="6" t="s">
        <v>420</v>
      </c>
    </row>
    <row r="20" customFormat="false" ht="15" hidden="false" customHeight="false" outlineLevel="0" collapsed="false">
      <c r="A20" s="4" t="s">
        <v>437</v>
      </c>
      <c r="B20" s="4" t="s">
        <v>431</v>
      </c>
      <c r="C20" s="5" t="n">
        <v>129000</v>
      </c>
      <c r="D20" s="15" t="n">
        <v>85</v>
      </c>
      <c r="E20" s="37" t="n">
        <f aca="false">IF(D20&gt;0,C20/D20,"–")</f>
        <v>1517.64705882353</v>
      </c>
      <c r="F20" s="6" t="s">
        <v>420</v>
      </c>
    </row>
    <row r="21" customFormat="false" ht="15" hidden="false" customHeight="false" outlineLevel="0" collapsed="false">
      <c r="A21" s="59" t="s">
        <v>438</v>
      </c>
      <c r="B21" s="59" t="s">
        <v>416</v>
      </c>
      <c r="C21" s="75" t="n">
        <v>320000</v>
      </c>
      <c r="D21" s="76" t="n">
        <v>199</v>
      </c>
      <c r="E21" s="77" t="n">
        <f aca="false">IF(D21&gt;0,C21/D21,"–")</f>
        <v>1608.04020100503</v>
      </c>
      <c r="F21" s="78" t="s">
        <v>420</v>
      </c>
    </row>
    <row r="22" customFormat="false" ht="15" hidden="false" customHeight="false" outlineLevel="0" collapsed="false">
      <c r="A22" s="4" t="s">
        <v>439</v>
      </c>
      <c r="B22" s="4" t="s">
        <v>431</v>
      </c>
      <c r="C22" s="5" t="n">
        <v>77700</v>
      </c>
      <c r="D22" s="15" t="n">
        <v>44.31</v>
      </c>
      <c r="E22" s="37" t="n">
        <f aca="false">IF(D22&gt;0,C22/D22,"–")</f>
        <v>1753.55450236967</v>
      </c>
      <c r="F22" s="6" t="s">
        <v>426</v>
      </c>
    </row>
    <row r="23" customFormat="false" ht="15" hidden="false" customHeight="false" outlineLevel="0" collapsed="false">
      <c r="A23" s="4" t="s">
        <v>440</v>
      </c>
      <c r="B23" s="4" t="s">
        <v>431</v>
      </c>
      <c r="C23" s="5" t="n">
        <v>135000</v>
      </c>
      <c r="D23" s="15" t="n">
        <v>76</v>
      </c>
      <c r="E23" s="37" t="n">
        <f aca="false">IF(D23&gt;0,C23/D23,"–")</f>
        <v>1776.31578947368</v>
      </c>
      <c r="F23" s="6" t="s">
        <v>420</v>
      </c>
    </row>
    <row r="24" customFormat="false" ht="15" hidden="false" customHeight="false" outlineLevel="0" collapsed="false">
      <c r="A24" s="4" t="s">
        <v>441</v>
      </c>
      <c r="B24" s="4" t="s">
        <v>431</v>
      </c>
      <c r="C24" s="5" t="n">
        <v>150000</v>
      </c>
      <c r="D24" s="15" t="n">
        <v>82</v>
      </c>
      <c r="E24" s="37" t="n">
        <f aca="false">IF(D24&gt;0,C24/D24,"–")</f>
        <v>1829.26829268293</v>
      </c>
      <c r="F24" s="6" t="s">
        <v>420</v>
      </c>
    </row>
    <row r="25" customFormat="false" ht="15" hidden="false" customHeight="false" outlineLevel="0" collapsed="false">
      <c r="A25" s="4" t="s">
        <v>442</v>
      </c>
      <c r="B25" s="4" t="s">
        <v>419</v>
      </c>
      <c r="C25" s="5" t="n">
        <v>209000</v>
      </c>
      <c r="D25" s="15" t="n">
        <v>110</v>
      </c>
      <c r="E25" s="37" t="n">
        <f aca="false">IF(D25&gt;0,C25/D25,"–")</f>
        <v>1900</v>
      </c>
      <c r="F25" s="6" t="s">
        <v>420</v>
      </c>
    </row>
    <row r="26" customFormat="false" ht="15" hidden="false" customHeight="false" outlineLevel="0" collapsed="false">
      <c r="A26" s="4" t="s">
        <v>443</v>
      </c>
      <c r="B26" s="4" t="s">
        <v>419</v>
      </c>
      <c r="C26" s="5" t="n">
        <v>349000</v>
      </c>
      <c r="D26" s="15" t="n">
        <v>182</v>
      </c>
      <c r="E26" s="37" t="n">
        <f aca="false">IF(D26&gt;0,C26/D26,"–")</f>
        <v>1917.58241758242</v>
      </c>
      <c r="F26" s="6" t="s">
        <v>426</v>
      </c>
    </row>
    <row r="27" customFormat="false" ht="15" hidden="false" customHeight="false" outlineLevel="0" collapsed="false">
      <c r="A27" s="4" t="s">
        <v>444</v>
      </c>
      <c r="B27" s="4" t="s">
        <v>419</v>
      </c>
      <c r="C27" s="5" t="n">
        <v>445000</v>
      </c>
      <c r="D27" s="15" t="n">
        <v>224</v>
      </c>
      <c r="E27" s="37" t="n">
        <f aca="false">IF(D27&gt;0,C27/D27,"–")</f>
        <v>1986.60714285714</v>
      </c>
      <c r="F27" s="6" t="s">
        <v>420</v>
      </c>
    </row>
    <row r="28" customFormat="false" ht="15" hidden="false" customHeight="false" outlineLevel="0" collapsed="false">
      <c r="A28" s="4" t="s">
        <v>445</v>
      </c>
      <c r="B28" s="4" t="s">
        <v>431</v>
      </c>
      <c r="C28" s="5" t="n">
        <v>165000</v>
      </c>
      <c r="D28" s="15" t="n">
        <v>82</v>
      </c>
      <c r="E28" s="37" t="n">
        <f aca="false">IF(D28&gt;0,C28/D28,"–")</f>
        <v>2012.19512195122</v>
      </c>
      <c r="F28" s="6" t="s">
        <v>420</v>
      </c>
    </row>
    <row r="29" customFormat="false" ht="15" hidden="false" customHeight="false" outlineLevel="0" collapsed="false">
      <c r="A29" s="4" t="s">
        <v>446</v>
      </c>
      <c r="B29" s="4" t="s">
        <v>431</v>
      </c>
      <c r="C29" s="5" t="n">
        <v>89500</v>
      </c>
      <c r="D29" s="15" t="n">
        <v>41</v>
      </c>
      <c r="E29" s="37" t="n">
        <f aca="false">IF(D29&gt;0,C29/D29,"–")</f>
        <v>2182.92682926829</v>
      </c>
      <c r="F29" s="6" t="s">
        <v>420</v>
      </c>
    </row>
    <row r="30" customFormat="false" ht="15" hidden="false" customHeight="false" outlineLevel="0" collapsed="false">
      <c r="A30" s="4" t="s">
        <v>447</v>
      </c>
      <c r="B30" s="4" t="s">
        <v>419</v>
      </c>
      <c r="C30" s="5" t="n">
        <v>329000</v>
      </c>
      <c r="D30" s="15" t="n">
        <v>148</v>
      </c>
      <c r="E30" s="37" t="n">
        <f aca="false">IF(D30&gt;0,C30/D30,"–")</f>
        <v>2222.97297297297</v>
      </c>
      <c r="F30" s="6" t="s">
        <v>420</v>
      </c>
    </row>
    <row r="31" customFormat="false" ht="15" hidden="false" customHeight="false" outlineLevel="0" collapsed="false">
      <c r="A31" s="4" t="s">
        <v>448</v>
      </c>
      <c r="B31" s="4" t="s">
        <v>431</v>
      </c>
      <c r="C31" s="5" t="n">
        <v>239000</v>
      </c>
      <c r="D31" s="15" t="n">
        <v>105</v>
      </c>
      <c r="E31" s="37" t="n">
        <f aca="false">IF(D31&gt;0,C31/D31,"–")</f>
        <v>2276.19047619048</v>
      </c>
      <c r="F31" s="6" t="s">
        <v>426</v>
      </c>
    </row>
    <row r="32" customFormat="false" ht="15" hidden="false" customHeight="false" outlineLevel="0" collapsed="false">
      <c r="A32" s="4" t="s">
        <v>449</v>
      </c>
      <c r="B32" s="4" t="s">
        <v>424</v>
      </c>
      <c r="C32" s="5" t="n">
        <v>245000</v>
      </c>
      <c r="D32" s="15" t="n">
        <v>105.4</v>
      </c>
      <c r="E32" s="37" t="n">
        <f aca="false">IF(D32&gt;0,C32/D32,"–")</f>
        <v>2324.47817836812</v>
      </c>
      <c r="F32" s="6" t="s">
        <v>417</v>
      </c>
    </row>
    <row r="33" customFormat="false" ht="15" hidden="false" customHeight="false" outlineLevel="0" collapsed="false">
      <c r="A33" s="4" t="s">
        <v>450</v>
      </c>
      <c r="B33" s="4" t="s">
        <v>424</v>
      </c>
      <c r="C33" s="5" t="n">
        <v>275000</v>
      </c>
      <c r="D33" s="15" t="n">
        <v>117</v>
      </c>
      <c r="E33" s="37" t="n">
        <f aca="false">IF(D33&gt;0,C33/D33,"–")</f>
        <v>2350.42735042735</v>
      </c>
      <c r="F33" s="6" t="s">
        <v>426</v>
      </c>
    </row>
    <row r="34" customFormat="false" ht="15" hidden="false" customHeight="false" outlineLevel="0" collapsed="false">
      <c r="A34" s="4" t="s">
        <v>451</v>
      </c>
      <c r="B34" s="4" t="s">
        <v>431</v>
      </c>
      <c r="C34" s="5" t="n">
        <v>195000</v>
      </c>
      <c r="D34" s="15" t="n">
        <v>82</v>
      </c>
      <c r="E34" s="37" t="n">
        <f aca="false">IF(D34&gt;0,C34/D34,"–")</f>
        <v>2378.04878048781</v>
      </c>
      <c r="F34" s="6" t="s">
        <v>420</v>
      </c>
    </row>
    <row r="35" customFormat="false" ht="15" hidden="false" customHeight="false" outlineLevel="0" collapsed="false">
      <c r="A35" s="4" t="s">
        <v>452</v>
      </c>
      <c r="B35" s="4" t="s">
        <v>419</v>
      </c>
      <c r="C35" s="5" t="n">
        <v>369000</v>
      </c>
      <c r="D35" s="15" t="n">
        <v>155</v>
      </c>
      <c r="E35" s="37" t="n">
        <f aca="false">IF(D35&gt;0,C35/D35,"–")</f>
        <v>2380.64516129032</v>
      </c>
      <c r="F35" s="6" t="s">
        <v>426</v>
      </c>
    </row>
    <row r="36" customFormat="false" ht="15" hidden="false" customHeight="false" outlineLevel="0" collapsed="false">
      <c r="A36" s="4" t="s">
        <v>453</v>
      </c>
      <c r="B36" s="4" t="s">
        <v>419</v>
      </c>
      <c r="C36" s="5" t="n">
        <v>470000</v>
      </c>
      <c r="D36" s="15" t="n">
        <v>188</v>
      </c>
      <c r="E36" s="37" t="n">
        <f aca="false">IF(D36&gt;0,C36/D36,"–")</f>
        <v>2500</v>
      </c>
      <c r="F36" s="6" t="s">
        <v>426</v>
      </c>
    </row>
    <row r="37" customFormat="false" ht="15" hidden="false" customHeight="false" outlineLevel="0" collapsed="false">
      <c r="A37" s="4" t="s">
        <v>454</v>
      </c>
      <c r="B37" s="4" t="s">
        <v>455</v>
      </c>
      <c r="C37" s="5" t="n">
        <v>486000</v>
      </c>
      <c r="D37" s="15" t="n">
        <v>180</v>
      </c>
      <c r="E37" s="37" t="n">
        <f aca="false">IF(D37&gt;0,C37/D37,"–")</f>
        <v>2700</v>
      </c>
      <c r="F37" s="6" t="s">
        <v>426</v>
      </c>
    </row>
    <row r="38" customFormat="false" ht="15" hidden="false" customHeight="false" outlineLevel="0" collapsed="false">
      <c r="A38" s="4" t="s">
        <v>456</v>
      </c>
      <c r="B38" s="4" t="s">
        <v>457</v>
      </c>
      <c r="C38" s="5" t="n">
        <v>449500</v>
      </c>
      <c r="D38" s="15" t="n">
        <v>135</v>
      </c>
      <c r="E38" s="37" t="n">
        <f aca="false">IF(D38&gt;0,C38/D38,"–")</f>
        <v>3329.62962962963</v>
      </c>
      <c r="F38" s="6" t="s">
        <v>426</v>
      </c>
    </row>
    <row r="39" customFormat="false" ht="15" hidden="false" customHeight="false" outlineLevel="0" collapsed="false">
      <c r="A39" s="4" t="s">
        <v>458</v>
      </c>
      <c r="B39" s="4" t="s">
        <v>419</v>
      </c>
      <c r="C39" s="5" t="n">
        <v>419000</v>
      </c>
      <c r="D39" s="15" t="n">
        <v>124</v>
      </c>
      <c r="E39" s="37" t="n">
        <f aca="false">IF(D39&gt;0,C39/D39,"–")</f>
        <v>3379.03225806452</v>
      </c>
      <c r="F39" s="6" t="s">
        <v>420</v>
      </c>
    </row>
    <row r="40" customFormat="false" ht="15" hidden="false" customHeight="false" outlineLevel="0" collapsed="false">
      <c r="A40" s="4" t="s">
        <v>459</v>
      </c>
      <c r="B40" s="4" t="s">
        <v>457</v>
      </c>
      <c r="C40" s="5" t="n">
        <v>450000</v>
      </c>
      <c r="D40" s="15" t="n">
        <v>130</v>
      </c>
      <c r="E40" s="37" t="n">
        <f aca="false">IF(D40&gt;0,C40/D40,"–")</f>
        <v>3461.53846153846</v>
      </c>
      <c r="F40" s="6" t="s">
        <v>420</v>
      </c>
    </row>
    <row r="41" customFormat="false" ht="15" hidden="false" customHeight="false" outlineLevel="0" collapsed="false">
      <c r="A41" s="4" t="s">
        <v>460</v>
      </c>
      <c r="B41" s="4" t="s">
        <v>461</v>
      </c>
      <c r="C41" s="5" t="n">
        <v>525350</v>
      </c>
      <c r="D41" s="15" t="n">
        <v>142</v>
      </c>
      <c r="E41" s="37" t="n">
        <f aca="false">IF(D41&gt;0,C41/D41,"–")</f>
        <v>3699.64788732394</v>
      </c>
      <c r="F41" s="6" t="s">
        <v>417</v>
      </c>
    </row>
    <row r="42" customFormat="false" ht="15" hidden="false" customHeight="false" outlineLevel="0" collapsed="false">
      <c r="A42" s="4" t="s">
        <v>462</v>
      </c>
      <c r="B42" s="4" t="s">
        <v>461</v>
      </c>
      <c r="C42" s="5" t="n">
        <v>587448</v>
      </c>
      <c r="D42" s="15" t="n">
        <v>154</v>
      </c>
      <c r="E42" s="37" t="n">
        <f aca="false">IF(D42&gt;0,C42/D42,"–")</f>
        <v>3814.5974025974</v>
      </c>
      <c r="F42" s="6" t="s">
        <v>417</v>
      </c>
    </row>
    <row r="43" customFormat="false" ht="15" hidden="false" customHeight="false" outlineLevel="0" collapsed="false">
      <c r="A43" s="4" t="s">
        <v>463</v>
      </c>
      <c r="B43" s="4" t="s">
        <v>461</v>
      </c>
      <c r="C43" s="5" t="n">
        <v>442639</v>
      </c>
      <c r="D43" s="15" t="n">
        <v>113</v>
      </c>
      <c r="E43" s="37" t="n">
        <f aca="false">IF(D43&gt;0,C43/D43,"–")</f>
        <v>3917.1592920354</v>
      </c>
      <c r="F43" s="6" t="s">
        <v>417</v>
      </c>
    </row>
    <row r="44" customFormat="false" ht="15" hidden="false" customHeight="false" outlineLevel="0" collapsed="false">
      <c r="A44" s="4" t="s">
        <v>464</v>
      </c>
      <c r="B44" s="4" t="s">
        <v>461</v>
      </c>
      <c r="C44" s="5" t="n">
        <v>504100</v>
      </c>
      <c r="D44" s="15" t="n">
        <v>126</v>
      </c>
      <c r="E44" s="37" t="n">
        <f aca="false">IF(D44&gt;0,C44/D44,"–")</f>
        <v>4000.79365079365</v>
      </c>
      <c r="F44" s="6" t="s">
        <v>417</v>
      </c>
    </row>
    <row r="45" customFormat="false" ht="15" hidden="false" customHeight="false" outlineLevel="0" collapsed="false">
      <c r="A45" s="4" t="s">
        <v>465</v>
      </c>
      <c r="B45" s="4" t="s">
        <v>461</v>
      </c>
      <c r="C45" s="5" t="n">
        <v>525350</v>
      </c>
      <c r="D45" s="15" t="n">
        <v>130</v>
      </c>
      <c r="E45" s="37" t="n">
        <f aca="false">IF(D45&gt;0,C45/D45,"–")</f>
        <v>4041.15384615385</v>
      </c>
      <c r="F45" s="6" t="s">
        <v>417</v>
      </c>
    </row>
    <row r="46" customFormat="false" ht="15" hidden="false" customHeight="false" outlineLevel="0" collapsed="false">
      <c r="A46" s="4" t="s">
        <v>466</v>
      </c>
      <c r="B46" s="4" t="s">
        <v>419</v>
      </c>
      <c r="C46" s="5" t="n">
        <v>550000</v>
      </c>
      <c r="D46" s="15" t="n">
        <v>124</v>
      </c>
      <c r="E46" s="37" t="n">
        <f aca="false">IF(D46&gt;0,C46/D46,"–")</f>
        <v>4435.48387096774</v>
      </c>
      <c r="F46" s="6" t="s">
        <v>420</v>
      </c>
    </row>
    <row r="47" customFormat="false" ht="15" hidden="false" customHeight="false" outlineLevel="0" collapsed="false">
      <c r="A47" s="4" t="s">
        <v>467</v>
      </c>
      <c r="B47" s="4" t="s">
        <v>455</v>
      </c>
      <c r="C47" s="5" t="n">
        <v>105500</v>
      </c>
      <c r="D47" s="15"/>
      <c r="E47" s="37" t="str">
        <f aca="false">IF(D47&gt;0,C47/D47,"–")</f>
        <v>–</v>
      </c>
      <c r="F47" s="6" t="s">
        <v>417</v>
      </c>
    </row>
    <row r="48" customFormat="false" ht="15" hidden="false" customHeight="false" outlineLevel="0" collapsed="false">
      <c r="A48" s="4" t="s">
        <v>468</v>
      </c>
      <c r="B48" s="4" t="s">
        <v>455</v>
      </c>
      <c r="C48" s="5" t="n">
        <v>79250</v>
      </c>
      <c r="D48" s="15"/>
      <c r="E48" s="37" t="str">
        <f aca="false">IF(D48&gt;0,C48/D48,"–")</f>
        <v>–</v>
      </c>
      <c r="F48" s="6" t="s">
        <v>417</v>
      </c>
    </row>
    <row r="49" customFormat="false" ht="15" hidden="false" customHeight="false" outlineLevel="0" collapsed="false">
      <c r="A49" s="4" t="s">
        <v>469</v>
      </c>
      <c r="B49" s="4" t="s">
        <v>470</v>
      </c>
      <c r="C49" s="5" t="n">
        <v>560000</v>
      </c>
      <c r="D49" s="15"/>
      <c r="E49" s="37" t="str">
        <f aca="false">IF(D49&gt;0,C49/D49,"–")</f>
        <v>–</v>
      </c>
      <c r="F49" s="6" t="s">
        <v>417</v>
      </c>
    </row>
    <row r="50" customFormat="false" ht="15" hidden="false" customHeight="false" outlineLevel="0" collapsed="false">
      <c r="A50" s="4" t="s">
        <v>471</v>
      </c>
      <c r="B50" s="4" t="s">
        <v>455</v>
      </c>
      <c r="C50" s="5" t="n">
        <v>93500</v>
      </c>
      <c r="D50" s="15"/>
      <c r="E50" s="37" t="str">
        <f aca="false">IF(D50&gt;0,C50/D50,"–")</f>
        <v>–</v>
      </c>
      <c r="F50" s="6" t="s">
        <v>417</v>
      </c>
    </row>
    <row r="52" customFormat="false" ht="15" hidden="false" customHeight="false" outlineLevel="0" collapsed="false">
      <c r="A52" s="3" t="s">
        <v>472</v>
      </c>
      <c r="B52" s="3"/>
      <c r="C52" s="3"/>
      <c r="D52" s="3"/>
      <c r="E52" s="3"/>
      <c r="F52" s="3"/>
    </row>
    <row r="53" customFormat="false" ht="15" hidden="false" customHeight="false" outlineLevel="0" collapsed="false">
      <c r="A53" s="19" t="s">
        <v>412</v>
      </c>
      <c r="B53" s="19" t="s">
        <v>473</v>
      </c>
      <c r="C53" s="19" t="s">
        <v>474</v>
      </c>
      <c r="D53" s="19" t="s">
        <v>475</v>
      </c>
      <c r="E53" s="19" t="s">
        <v>476</v>
      </c>
      <c r="F53" s="19" t="s">
        <v>477</v>
      </c>
    </row>
    <row r="54" customFormat="false" ht="15" hidden="false" customHeight="false" outlineLevel="0" collapsed="false">
      <c r="A54" s="48" t="s">
        <v>416</v>
      </c>
      <c r="B54" s="79" t="n">
        <f aca="false">COUNTIFS($B$5:$B$50,A54,$D$5:$D$50,"&gt;0")</f>
        <v>6</v>
      </c>
      <c r="C54" s="56" t="s">
        <v>478</v>
      </c>
      <c r="D54" s="56" t="n">
        <v>1446</v>
      </c>
      <c r="E54" s="56" t="n">
        <v>1238</v>
      </c>
      <c r="F54" s="56" t="n">
        <v>1608</v>
      </c>
    </row>
    <row r="55" customFormat="false" ht="15" hidden="false" customHeight="false" outlineLevel="0" collapsed="false">
      <c r="A55" s="4" t="s">
        <v>424</v>
      </c>
      <c r="B55" s="80" t="n">
        <f aca="false">COUNTIFS($B$5:$B$50,A55,$D$5:$D$50,"&gt;0")</f>
        <v>3</v>
      </c>
      <c r="C55" s="37" t="s">
        <v>479</v>
      </c>
      <c r="D55" s="37" t="n">
        <v>2324</v>
      </c>
      <c r="E55" s="37" t="n">
        <v>1910</v>
      </c>
      <c r="F55" s="37" t="n">
        <v>2350</v>
      </c>
    </row>
    <row r="56" customFormat="false" ht="15" hidden="false" customHeight="false" outlineLevel="0" collapsed="false">
      <c r="A56" s="4" t="s">
        <v>461</v>
      </c>
      <c r="B56" s="80" t="n">
        <f aca="false">COUNTIFS($B$5:$B$50,A56,$D$5:$D$50,"&gt;0")</f>
        <v>5</v>
      </c>
      <c r="C56" s="37" t="s">
        <v>480</v>
      </c>
      <c r="D56" s="37" t="n">
        <v>3917</v>
      </c>
      <c r="E56" s="37" t="n">
        <v>3895</v>
      </c>
      <c r="F56" s="37" t="n">
        <v>4041</v>
      </c>
    </row>
    <row r="57" customFormat="false" ht="15" hidden="false" customHeight="false" outlineLevel="0" collapsed="false">
      <c r="A57" s="4" t="s">
        <v>457</v>
      </c>
      <c r="B57" s="80" t="n">
        <f aca="false">COUNTIFS($B$5:$B$50,A57,$D$5:$D$50,"&gt;0")</f>
        <v>2</v>
      </c>
      <c r="C57" s="37" t="s">
        <v>481</v>
      </c>
      <c r="D57" s="37" t="n">
        <v>3396</v>
      </c>
      <c r="E57" s="37" t="n">
        <v>3396</v>
      </c>
      <c r="F57" s="37" t="n">
        <v>3462</v>
      </c>
    </row>
    <row r="58" customFormat="false" ht="15" hidden="false" customHeight="false" outlineLevel="0" collapsed="false">
      <c r="A58" s="4" t="s">
        <v>455</v>
      </c>
      <c r="B58" s="80" t="n">
        <f aca="false">COUNTIFS($B$5:$B$50,A58,$D$5:$D$50,"&gt;0")</f>
        <v>1</v>
      </c>
      <c r="C58" s="37" t="s">
        <v>482</v>
      </c>
      <c r="D58" s="37" t="n">
        <v>2700</v>
      </c>
      <c r="E58" s="37" t="n">
        <v>2700</v>
      </c>
      <c r="F58" s="37" t="n">
        <v>2700</v>
      </c>
    </row>
    <row r="60" customFormat="false" ht="15" hidden="false" customHeight="false" outlineLevel="0" collapsed="false">
      <c r="A60" s="48" t="s">
        <v>483</v>
      </c>
      <c r="B60" s="48"/>
      <c r="C60" s="48"/>
      <c r="D60" s="66" t="n">
        <f aca="false">Preisfindung!M9</f>
        <v>905.73146873415</v>
      </c>
      <c r="E60" s="48"/>
      <c r="F60" s="48"/>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0"/>
    <col collapsed="false" customWidth="true" hidden="false" outlineLevel="0" max="2" min="2" style="0" width="22"/>
    <col collapsed="false" customWidth="true" hidden="false" outlineLevel="0" max="4" min="3" style="0" width="11"/>
    <col collapsed="false" customWidth="true" hidden="false" outlineLevel="0" max="5" min="5" style="0" width="30"/>
    <col collapsed="false" customWidth="true" hidden="false" outlineLevel="0" max="6" min="6" style="0" width="11"/>
    <col collapsed="false" customWidth="true" hidden="false" outlineLevel="0" max="8" min="7" style="0" width="13"/>
    <col collapsed="false" customWidth="true" hidden="false" outlineLevel="0" max="9" min="9" style="0" width="12"/>
    <col collapsed="false" customWidth="true" hidden="false" outlineLevel="0" max="10" min="10" style="0" width="20"/>
    <col collapsed="false" customWidth="true" hidden="false" outlineLevel="0" max="11" min="11" style="0" width="12"/>
    <col collapsed="false" customWidth="true" hidden="false" outlineLevel="0" max="12" min="12" style="0" width="15"/>
    <col collapsed="false" customWidth="true" hidden="false" outlineLevel="0" max="14" min="13" style="0" width="11"/>
    <col collapsed="false" customWidth="true" hidden="false" outlineLevel="0" max="15" min="15" style="0" width="14"/>
  </cols>
  <sheetData>
    <row r="1" customFormat="false" ht="21.75" hidden="false" customHeight="true" outlineLevel="0" collapsed="false">
      <c r="A1" s="1" t="s">
        <v>75</v>
      </c>
    </row>
    <row r="2" customFormat="false" ht="15" hidden="false" customHeight="false" outlineLevel="0" collapsed="false">
      <c r="A2" s="2" t="s">
        <v>76</v>
      </c>
    </row>
    <row r="4" customFormat="false" ht="30" hidden="false" customHeight="true" outlineLevel="0" collapsed="false">
      <c r="A4" s="12" t="s">
        <v>77</v>
      </c>
      <c r="B4" s="12" t="s">
        <v>4</v>
      </c>
      <c r="C4" s="12" t="s">
        <v>78</v>
      </c>
      <c r="D4" s="12" t="s">
        <v>79</v>
      </c>
      <c r="E4" s="12" t="s">
        <v>80</v>
      </c>
      <c r="F4" s="12" t="s">
        <v>81</v>
      </c>
      <c r="G4" s="12" t="s">
        <v>82</v>
      </c>
      <c r="H4" s="12" t="s">
        <v>83</v>
      </c>
      <c r="I4" s="12" t="s">
        <v>84</v>
      </c>
      <c r="J4" s="12" t="s">
        <v>85</v>
      </c>
      <c r="K4" s="12" t="s">
        <v>86</v>
      </c>
      <c r="L4" s="12" t="s">
        <v>87</v>
      </c>
      <c r="M4" s="12" t="s">
        <v>88</v>
      </c>
      <c r="N4" s="12" t="s">
        <v>89</v>
      </c>
      <c r="O4" s="12" t="s">
        <v>90</v>
      </c>
    </row>
    <row r="5" customFormat="false" ht="15" hidden="false" customHeight="false" outlineLevel="0" collapsed="false">
      <c r="A5" s="4" t="s">
        <v>91</v>
      </c>
      <c r="B5" s="4" t="s">
        <v>92</v>
      </c>
      <c r="C5" s="4" t="s">
        <v>93</v>
      </c>
      <c r="D5" s="4" t="s">
        <v>94</v>
      </c>
      <c r="E5" s="4" t="s">
        <v>95</v>
      </c>
      <c r="F5" s="15" t="n">
        <v>120</v>
      </c>
      <c r="G5" s="16" t="n">
        <v>1080</v>
      </c>
      <c r="H5" s="16" t="n">
        <v>1080</v>
      </c>
      <c r="I5" s="16" t="n">
        <v>250</v>
      </c>
      <c r="J5" s="4"/>
      <c r="K5" s="13" t="str">
        <f aca="false">IF(J5="","",INDEX(Annahmen!$B$34:$B$36,MATCH(J5,Annahmen!$A$34:$A$36,0)))</f>
        <v/>
      </c>
      <c r="L5" s="17" t="n">
        <f aca="false">IF(D5="Leerstand",F5*K5,H5)</f>
        <v>1080</v>
      </c>
      <c r="M5" s="18" t="n">
        <f aca="false">IFERROR(G5/F5,"–")</f>
        <v>9</v>
      </c>
      <c r="N5" s="18" t="n">
        <f aca="false">IFERROR(H5/F5,"–")</f>
        <v>9</v>
      </c>
      <c r="O5" s="4" t="s">
        <v>96</v>
      </c>
    </row>
    <row r="6" customFormat="false" ht="15" hidden="false" customHeight="false" outlineLevel="0" collapsed="false">
      <c r="A6" s="4" t="s">
        <v>91</v>
      </c>
      <c r="B6" s="4" t="s">
        <v>97</v>
      </c>
      <c r="C6" s="4" t="s">
        <v>93</v>
      </c>
      <c r="D6" s="4" t="s">
        <v>94</v>
      </c>
      <c r="E6" s="4" t="s">
        <v>98</v>
      </c>
      <c r="F6" s="15" t="n">
        <v>45</v>
      </c>
      <c r="G6" s="16" t="n">
        <v>405</v>
      </c>
      <c r="H6" s="16" t="n">
        <v>405</v>
      </c>
      <c r="I6" s="16" t="n">
        <v>70</v>
      </c>
      <c r="J6" s="4"/>
      <c r="K6" s="13" t="str">
        <f aca="false">IF(J6="","",INDEX(Annahmen!$B$34:$B$36,MATCH(J6,Annahmen!$A$34:$A$36,0)))</f>
        <v/>
      </c>
      <c r="L6" s="17" t="n">
        <f aca="false">IF(D6="Leerstand",F6*K6,H6)</f>
        <v>405</v>
      </c>
      <c r="M6" s="18" t="n">
        <f aca="false">IFERROR(G6/F6,"–")</f>
        <v>9</v>
      </c>
      <c r="N6" s="18" t="n">
        <f aca="false">IFERROR(H6/F6,"–")</f>
        <v>9</v>
      </c>
      <c r="O6" s="4" t="s">
        <v>99</v>
      </c>
    </row>
    <row r="7" customFormat="false" ht="15" hidden="false" customHeight="false" outlineLevel="0" collapsed="false">
      <c r="A7" s="4" t="s">
        <v>91</v>
      </c>
      <c r="B7" s="4" t="s">
        <v>100</v>
      </c>
      <c r="C7" s="4" t="s">
        <v>101</v>
      </c>
      <c r="D7" s="4" t="s">
        <v>94</v>
      </c>
      <c r="E7" s="4" t="s">
        <v>102</v>
      </c>
      <c r="F7" s="15" t="n">
        <v>120</v>
      </c>
      <c r="G7" s="16" t="n">
        <v>825</v>
      </c>
      <c r="H7" s="16" t="n">
        <v>990</v>
      </c>
      <c r="I7" s="16" t="n">
        <v>210</v>
      </c>
      <c r="J7" s="4"/>
      <c r="K7" s="13" t="str">
        <f aca="false">IF(J7="","",INDEX(Annahmen!$B$34:$B$36,MATCH(J7,Annahmen!$A$34:$A$36,0)))</f>
        <v/>
      </c>
      <c r="L7" s="17" t="n">
        <f aca="false">IF(D7="Leerstand",F7*K7,H7)</f>
        <v>990</v>
      </c>
      <c r="M7" s="18" t="n">
        <f aca="false">IFERROR(G7/F7,"–")</f>
        <v>6.875</v>
      </c>
      <c r="N7" s="18" t="n">
        <f aca="false">IFERROR(H7/F7,"–")</f>
        <v>8.25</v>
      </c>
      <c r="O7" s="4" t="s">
        <v>103</v>
      </c>
    </row>
    <row r="8" customFormat="false" ht="15" hidden="false" customHeight="false" outlineLevel="0" collapsed="false">
      <c r="A8" s="4" t="s">
        <v>91</v>
      </c>
      <c r="B8" s="4" t="s">
        <v>104</v>
      </c>
      <c r="C8" s="4" t="s">
        <v>101</v>
      </c>
      <c r="D8" s="4" t="s">
        <v>94</v>
      </c>
      <c r="E8" s="4" t="s">
        <v>105</v>
      </c>
      <c r="F8" s="15" t="n">
        <v>120</v>
      </c>
      <c r="G8" s="16" t="n">
        <v>550</v>
      </c>
      <c r="H8" s="16" t="n">
        <v>660</v>
      </c>
      <c r="I8" s="16" t="n">
        <v>250</v>
      </c>
      <c r="J8" s="4"/>
      <c r="K8" s="13" t="str">
        <f aca="false">IF(J8="","",INDEX(Annahmen!$B$34:$B$36,MATCH(J8,Annahmen!$A$34:$A$36,0)))</f>
        <v/>
      </c>
      <c r="L8" s="17" t="n">
        <f aca="false">IF(D8="Leerstand",F8*K8,H8)</f>
        <v>660</v>
      </c>
      <c r="M8" s="18" t="n">
        <f aca="false">IFERROR(G8/F8,"–")</f>
        <v>4.58333333333333</v>
      </c>
      <c r="N8" s="18" t="n">
        <f aca="false">IFERROR(H8/F8,"–")</f>
        <v>5.5</v>
      </c>
      <c r="O8" s="4" t="s">
        <v>106</v>
      </c>
    </row>
    <row r="9" customFormat="false" ht="15" hidden="false" customHeight="false" outlineLevel="0" collapsed="false">
      <c r="A9" s="19" t="s">
        <v>107</v>
      </c>
      <c r="B9" s="19" t="str">
        <f aca="false">COUNTIF(D5:D8,"vermietet")&amp;" von "&amp;4&amp;" vermietet"</f>
        <v>4 von 4 vermietet</v>
      </c>
      <c r="C9" s="19"/>
      <c r="D9" s="19"/>
      <c r="E9" s="19"/>
      <c r="F9" s="20" t="n">
        <f aca="false">SUM(F5:F8)</f>
        <v>405</v>
      </c>
      <c r="G9" s="21" t="n">
        <f aca="false">SUM(G5:G8)</f>
        <v>2860</v>
      </c>
      <c r="H9" s="21" t="n">
        <f aca="false">SUM(H5:H8)</f>
        <v>3135</v>
      </c>
      <c r="I9" s="21" t="n">
        <f aca="false">SUM(I5:I8)</f>
        <v>780</v>
      </c>
      <c r="J9" s="19"/>
      <c r="K9" s="19"/>
      <c r="L9" s="21" t="n">
        <f aca="false">SUM(L5:L8)</f>
        <v>3135</v>
      </c>
      <c r="M9" s="22" t="n">
        <f aca="false">SUMIF(D5:D8,"vermietet",G5:G8)/SUMIF(D5:D8,"vermietet",F5:F8)</f>
        <v>7.06172839506173</v>
      </c>
      <c r="N9" s="22" t="n">
        <f aca="false">SUMIF(D5:D8,"vermietet",H5:H8)/SUMIF(D5:D8,"vermietet",F5:F8)</f>
        <v>7.74074074074074</v>
      </c>
      <c r="O9" s="19"/>
    </row>
    <row r="10" customFormat="false" ht="15" hidden="false" customHeight="false" outlineLevel="0" collapsed="false">
      <c r="A10" s="23" t="s">
        <v>108</v>
      </c>
      <c r="B10" s="23" t="s">
        <v>92</v>
      </c>
      <c r="C10" s="23" t="s">
        <v>93</v>
      </c>
      <c r="D10" s="23" t="s">
        <v>109</v>
      </c>
      <c r="E10" s="23" t="s">
        <v>109</v>
      </c>
      <c r="F10" s="15" t="n">
        <v>75</v>
      </c>
      <c r="G10" s="16" t="n">
        <v>0</v>
      </c>
      <c r="H10" s="16" t="n">
        <v>0</v>
      </c>
      <c r="I10" s="16" t="n">
        <v>0</v>
      </c>
      <c r="J10" s="4" t="s">
        <v>63</v>
      </c>
      <c r="K10" s="13" t="n">
        <f aca="false">IF(J10="","",INDEX(Annahmen!$B$34:$B$36,MATCH(J10,Annahmen!$A$34:$A$36,0)))</f>
        <v>8</v>
      </c>
      <c r="L10" s="17" t="n">
        <f aca="false">IF(D10="Leerstand",F10*K10,H10)</f>
        <v>600</v>
      </c>
      <c r="M10" s="18" t="n">
        <f aca="false">IFERROR(G10/F10,"–")</f>
        <v>0</v>
      </c>
      <c r="N10" s="18" t="n">
        <f aca="false">IFERROR(H10/F10,"–")</f>
        <v>0</v>
      </c>
      <c r="O10" s="4" t="s">
        <v>110</v>
      </c>
    </row>
    <row r="11" customFormat="false" ht="15" hidden="false" customHeight="false" outlineLevel="0" collapsed="false">
      <c r="A11" s="23" t="s">
        <v>108</v>
      </c>
      <c r="B11" s="23" t="s">
        <v>111</v>
      </c>
      <c r="C11" s="23" t="s">
        <v>93</v>
      </c>
      <c r="D11" s="23" t="s">
        <v>109</v>
      </c>
      <c r="E11" s="23" t="s">
        <v>109</v>
      </c>
      <c r="F11" s="15" t="n">
        <v>226</v>
      </c>
      <c r="G11" s="16" t="n">
        <v>0</v>
      </c>
      <c r="H11" s="16" t="n">
        <v>0</v>
      </c>
      <c r="I11" s="16" t="n">
        <v>0</v>
      </c>
      <c r="J11" s="4" t="s">
        <v>64</v>
      </c>
      <c r="K11" s="13" t="n">
        <f aca="false">IF(J11="","",INDEX(Annahmen!$B$34:$B$36,MATCH(J11,Annahmen!$A$34:$A$36,0)))</f>
        <v>5</v>
      </c>
      <c r="L11" s="17" t="n">
        <f aca="false">IF(D11="Leerstand",F11*K11,H11)</f>
        <v>1130</v>
      </c>
      <c r="M11" s="18" t="n">
        <f aca="false">IFERROR(G11/F11,"–")</f>
        <v>0</v>
      </c>
      <c r="N11" s="18" t="n">
        <f aca="false">IFERROR(H11/F11,"–")</f>
        <v>0</v>
      </c>
      <c r="O11" s="4" t="s">
        <v>110</v>
      </c>
    </row>
    <row r="12" customFormat="false" ht="15" hidden="false" customHeight="false" outlineLevel="0" collapsed="false">
      <c r="A12" s="4" t="s">
        <v>108</v>
      </c>
      <c r="B12" s="4" t="s">
        <v>112</v>
      </c>
      <c r="C12" s="4" t="s">
        <v>101</v>
      </c>
      <c r="D12" s="4" t="s">
        <v>94</v>
      </c>
      <c r="E12" s="4" t="s">
        <v>113</v>
      </c>
      <c r="F12" s="15" t="n">
        <v>86</v>
      </c>
      <c r="G12" s="16" t="n">
        <v>445.5</v>
      </c>
      <c r="H12" s="16" t="n">
        <v>534.6</v>
      </c>
      <c r="I12" s="16" t="n">
        <v>174.5</v>
      </c>
      <c r="J12" s="4"/>
      <c r="K12" s="13" t="str">
        <f aca="false">IF(J12="","",INDEX(Annahmen!$B$34:$B$36,MATCH(J12,Annahmen!$A$34:$A$36,0)))</f>
        <v/>
      </c>
      <c r="L12" s="17" t="n">
        <f aca="false">IF(D12="Leerstand",F12*K12,H12)</f>
        <v>534.6</v>
      </c>
      <c r="M12" s="18" t="n">
        <f aca="false">IFERROR(G12/F12,"–")</f>
        <v>5.18023255813954</v>
      </c>
      <c r="N12" s="18" t="n">
        <f aca="false">IFERROR(H12/F12,"–")</f>
        <v>6.21627906976744</v>
      </c>
      <c r="O12" s="4" t="s">
        <v>114</v>
      </c>
    </row>
    <row r="13" customFormat="false" ht="15" hidden="false" customHeight="false" outlineLevel="0" collapsed="false">
      <c r="A13" s="4" t="s">
        <v>108</v>
      </c>
      <c r="B13" s="4" t="s">
        <v>115</v>
      </c>
      <c r="C13" s="4" t="s">
        <v>101</v>
      </c>
      <c r="D13" s="4" t="s">
        <v>94</v>
      </c>
      <c r="E13" s="4" t="s">
        <v>116</v>
      </c>
      <c r="F13" s="15" t="n">
        <v>84.34</v>
      </c>
      <c r="G13" s="16" t="n">
        <v>500</v>
      </c>
      <c r="H13" s="16" t="n">
        <v>500</v>
      </c>
      <c r="I13" s="16" t="n">
        <v>150</v>
      </c>
      <c r="J13" s="4"/>
      <c r="K13" s="13" t="str">
        <f aca="false">IF(J13="","",INDEX(Annahmen!$B$34:$B$36,MATCH(J13,Annahmen!$A$34:$A$36,0)))</f>
        <v/>
      </c>
      <c r="L13" s="17" t="n">
        <f aca="false">IF(D13="Leerstand",F13*K13,H13)</f>
        <v>500</v>
      </c>
      <c r="M13" s="18" t="n">
        <f aca="false">IFERROR(G13/F13,"–")</f>
        <v>5.92838510789661</v>
      </c>
      <c r="N13" s="18" t="n">
        <f aca="false">IFERROR(H13/F13,"–")</f>
        <v>5.92838510789661</v>
      </c>
      <c r="O13" s="4" t="s">
        <v>117</v>
      </c>
    </row>
    <row r="14" customFormat="false" ht="15" hidden="false" customHeight="false" outlineLevel="0" collapsed="false">
      <c r="A14" s="4" t="s">
        <v>108</v>
      </c>
      <c r="B14" s="4" t="s">
        <v>118</v>
      </c>
      <c r="C14" s="4" t="s">
        <v>101</v>
      </c>
      <c r="D14" s="4" t="s">
        <v>94</v>
      </c>
      <c r="E14" s="4" t="s">
        <v>119</v>
      </c>
      <c r="F14" s="15" t="n">
        <v>70</v>
      </c>
      <c r="G14" s="16" t="n">
        <v>360</v>
      </c>
      <c r="H14" s="16" t="n">
        <v>432</v>
      </c>
      <c r="I14" s="16" t="n">
        <v>95</v>
      </c>
      <c r="J14" s="4"/>
      <c r="K14" s="13" t="str">
        <f aca="false">IF(J14="","",INDEX(Annahmen!$B$34:$B$36,MATCH(J14,Annahmen!$A$34:$A$36,0)))</f>
        <v/>
      </c>
      <c r="L14" s="17" t="n">
        <f aca="false">IF(D14="Leerstand",F14*K14,H14)</f>
        <v>432</v>
      </c>
      <c r="M14" s="18" t="n">
        <f aca="false">IFERROR(G14/F14,"–")</f>
        <v>5.14285714285714</v>
      </c>
      <c r="N14" s="18" t="n">
        <f aca="false">IFERROR(H14/F14,"–")</f>
        <v>6.17142857142857</v>
      </c>
      <c r="O14" s="4" t="s">
        <v>120</v>
      </c>
    </row>
    <row r="15" customFormat="false" ht="15" hidden="false" customHeight="false" outlineLevel="0" collapsed="false">
      <c r="A15" s="4" t="s">
        <v>108</v>
      </c>
      <c r="B15" s="4" t="s">
        <v>121</v>
      </c>
      <c r="C15" s="4" t="s">
        <v>101</v>
      </c>
      <c r="D15" s="4" t="s">
        <v>94</v>
      </c>
      <c r="E15" s="4" t="s">
        <v>122</v>
      </c>
      <c r="F15" s="15" t="n">
        <v>34</v>
      </c>
      <c r="G15" s="16" t="n">
        <v>300</v>
      </c>
      <c r="H15" s="16" t="n">
        <v>300</v>
      </c>
      <c r="I15" s="16" t="n">
        <v>80</v>
      </c>
      <c r="J15" s="4"/>
      <c r="K15" s="13" t="str">
        <f aca="false">IF(J15="","",INDEX(Annahmen!$B$34:$B$36,MATCH(J15,Annahmen!$A$34:$A$36,0)))</f>
        <v/>
      </c>
      <c r="L15" s="17" t="n">
        <f aca="false">IF(D15="Leerstand",F15*K15,H15)</f>
        <v>300</v>
      </c>
      <c r="M15" s="18" t="n">
        <f aca="false">IFERROR(G15/F15,"–")</f>
        <v>8.82352941176471</v>
      </c>
      <c r="N15" s="18" t="n">
        <f aca="false">IFERROR(H15/F15,"–")</f>
        <v>8.82352941176471</v>
      </c>
      <c r="O15" s="4" t="s">
        <v>123</v>
      </c>
    </row>
    <row r="16" customFormat="false" ht="15" hidden="false" customHeight="false" outlineLevel="0" collapsed="false">
      <c r="A16" s="19" t="s">
        <v>124</v>
      </c>
      <c r="B16" s="19" t="str">
        <f aca="false">COUNTIF(D10:D15,"vermietet")&amp;" von "&amp;6&amp;" vermietet"</f>
        <v>4 von 6 vermietet</v>
      </c>
      <c r="C16" s="19"/>
      <c r="D16" s="19"/>
      <c r="E16" s="19"/>
      <c r="F16" s="20" t="n">
        <f aca="false">SUM(F10:F15)</f>
        <v>575.34</v>
      </c>
      <c r="G16" s="21" t="n">
        <f aca="false">SUM(G10:G15)</f>
        <v>1605.5</v>
      </c>
      <c r="H16" s="21" t="n">
        <f aca="false">SUM(H10:H15)</f>
        <v>1766.6</v>
      </c>
      <c r="I16" s="21" t="n">
        <f aca="false">SUM(I10:I15)</f>
        <v>499.5</v>
      </c>
      <c r="J16" s="19"/>
      <c r="K16" s="19"/>
      <c r="L16" s="21" t="n">
        <f aca="false">SUM(L10:L15)</f>
        <v>3496.6</v>
      </c>
      <c r="M16" s="22" t="n">
        <f aca="false">SUMIF(D10:D15,"vermietet",G10:G15)/SUMIF(D10:D15,"vermietet",F10:F15)</f>
        <v>5.85222716337391</v>
      </c>
      <c r="N16" s="22" t="n">
        <f aca="false">SUMIF(D10:D15,"vermietet",H10:H15)/SUMIF(D10:D15,"vermietet",F10:F15)</f>
        <v>6.43945469125902</v>
      </c>
      <c r="O16" s="19"/>
    </row>
    <row r="17" customFormat="false" ht="15" hidden="false" customHeight="false" outlineLevel="0" collapsed="false">
      <c r="A17" s="23" t="s">
        <v>125</v>
      </c>
      <c r="B17" s="23" t="s">
        <v>126</v>
      </c>
      <c r="C17" s="23" t="s">
        <v>101</v>
      </c>
      <c r="D17" s="23" t="s">
        <v>109</v>
      </c>
      <c r="E17" s="23" t="s">
        <v>109</v>
      </c>
      <c r="F17" s="15" t="n">
        <v>29.5</v>
      </c>
      <c r="G17" s="16" t="n">
        <v>0</v>
      </c>
      <c r="H17" s="16" t="n">
        <v>0</v>
      </c>
      <c r="I17" s="16" t="n">
        <v>0</v>
      </c>
      <c r="J17" s="4" t="s">
        <v>62</v>
      </c>
      <c r="K17" s="13" t="n">
        <f aca="false">IF(J17="","",INDEX(Annahmen!$B$34:$B$36,MATCH(J17,Annahmen!$A$34:$A$36,0)))</f>
        <v>8</v>
      </c>
      <c r="L17" s="17" t="n">
        <f aca="false">IF(D17="Leerstand",F17*K17,H17)</f>
        <v>236</v>
      </c>
      <c r="M17" s="18" t="n">
        <f aca="false">IFERROR(G17/F17,"–")</f>
        <v>0</v>
      </c>
      <c r="N17" s="18" t="n">
        <f aca="false">IFERROR(H17/F17,"–")</f>
        <v>0</v>
      </c>
      <c r="O17" s="4" t="s">
        <v>110</v>
      </c>
    </row>
    <row r="18" customFormat="false" ht="15" hidden="false" customHeight="false" outlineLevel="0" collapsed="false">
      <c r="A18" s="23" t="s">
        <v>125</v>
      </c>
      <c r="B18" s="23" t="s">
        <v>127</v>
      </c>
      <c r="C18" s="23" t="s">
        <v>101</v>
      </c>
      <c r="D18" s="23" t="s">
        <v>109</v>
      </c>
      <c r="E18" s="23" t="s">
        <v>109</v>
      </c>
      <c r="F18" s="15" t="n">
        <v>30</v>
      </c>
      <c r="G18" s="16" t="n">
        <v>0</v>
      </c>
      <c r="H18" s="16" t="n">
        <v>0</v>
      </c>
      <c r="I18" s="16" t="n">
        <v>0</v>
      </c>
      <c r="J18" s="4" t="s">
        <v>62</v>
      </c>
      <c r="K18" s="13" t="n">
        <f aca="false">IF(J18="","",INDEX(Annahmen!$B$34:$B$36,MATCH(J18,Annahmen!$A$34:$A$36,0)))</f>
        <v>8</v>
      </c>
      <c r="L18" s="17" t="n">
        <f aca="false">IF(D18="Leerstand",F18*K18,H18)</f>
        <v>240</v>
      </c>
      <c r="M18" s="18" t="n">
        <f aca="false">IFERROR(G18/F18,"–")</f>
        <v>0</v>
      </c>
      <c r="N18" s="18" t="n">
        <f aca="false">IFERROR(H18/F18,"–")</f>
        <v>0</v>
      </c>
      <c r="O18" s="4" t="s">
        <v>110</v>
      </c>
    </row>
    <row r="19" customFormat="false" ht="15" hidden="false" customHeight="false" outlineLevel="0" collapsed="false">
      <c r="A19" s="4" t="s">
        <v>125</v>
      </c>
      <c r="B19" s="4" t="s">
        <v>128</v>
      </c>
      <c r="C19" s="4" t="s">
        <v>101</v>
      </c>
      <c r="D19" s="4" t="s">
        <v>94</v>
      </c>
      <c r="E19" s="4" t="s">
        <v>129</v>
      </c>
      <c r="F19" s="15" t="n">
        <v>52</v>
      </c>
      <c r="G19" s="16" t="n">
        <v>480</v>
      </c>
      <c r="H19" s="16" t="n">
        <v>480</v>
      </c>
      <c r="I19" s="16" t="n">
        <v>150</v>
      </c>
      <c r="J19" s="4"/>
      <c r="K19" s="13" t="str">
        <f aca="false">IF(J19="","",INDEX(Annahmen!$B$34:$B$36,MATCH(J19,Annahmen!$A$34:$A$36,0)))</f>
        <v/>
      </c>
      <c r="L19" s="17" t="n">
        <f aca="false">IF(D19="Leerstand",F19*K19,H19)</f>
        <v>480</v>
      </c>
      <c r="M19" s="18" t="n">
        <f aca="false">IFERROR(G19/F19,"–")</f>
        <v>9.23076923076923</v>
      </c>
      <c r="N19" s="18" t="n">
        <f aca="false">IFERROR(H19/F19,"–")</f>
        <v>9.23076923076923</v>
      </c>
      <c r="O19" s="4" t="s">
        <v>130</v>
      </c>
    </row>
    <row r="20" customFormat="false" ht="15" hidden="false" customHeight="false" outlineLevel="0" collapsed="false">
      <c r="A20" s="4" t="s">
        <v>125</v>
      </c>
      <c r="B20" s="4" t="s">
        <v>131</v>
      </c>
      <c r="C20" s="4" t="s">
        <v>101</v>
      </c>
      <c r="D20" s="4" t="s">
        <v>94</v>
      </c>
      <c r="E20" s="4" t="s">
        <v>132</v>
      </c>
      <c r="F20" s="15" t="n">
        <v>71</v>
      </c>
      <c r="G20" s="16" t="n">
        <v>518.4</v>
      </c>
      <c r="H20" s="16" t="n">
        <v>518.4</v>
      </c>
      <c r="I20" s="16" t="n">
        <v>241.6</v>
      </c>
      <c r="J20" s="4"/>
      <c r="K20" s="13" t="str">
        <f aca="false">IF(J20="","",INDEX(Annahmen!$B$34:$B$36,MATCH(J20,Annahmen!$A$34:$A$36,0)))</f>
        <v/>
      </c>
      <c r="L20" s="17" t="n">
        <f aca="false">IF(D20="Leerstand",F20*K20,H20)</f>
        <v>518.4</v>
      </c>
      <c r="M20" s="18" t="n">
        <f aca="false">IFERROR(G20/F20,"–")</f>
        <v>7.30140845070423</v>
      </c>
      <c r="N20" s="18" t="n">
        <f aca="false">IFERROR(H20/F20,"–")</f>
        <v>7.30140845070423</v>
      </c>
      <c r="O20" s="4" t="s">
        <v>133</v>
      </c>
    </row>
    <row r="21" customFormat="false" ht="15" hidden="false" customHeight="false" outlineLevel="0" collapsed="false">
      <c r="A21" s="4" t="s">
        <v>125</v>
      </c>
      <c r="B21" s="4" t="s">
        <v>115</v>
      </c>
      <c r="C21" s="4" t="s">
        <v>101</v>
      </c>
      <c r="D21" s="4" t="s">
        <v>94</v>
      </c>
      <c r="E21" s="4" t="s">
        <v>134</v>
      </c>
      <c r="F21" s="15" t="n">
        <v>52.5</v>
      </c>
      <c r="G21" s="16" t="n">
        <v>500</v>
      </c>
      <c r="H21" s="16" t="n">
        <v>500</v>
      </c>
      <c r="I21" s="16" t="n">
        <v>150</v>
      </c>
      <c r="J21" s="4"/>
      <c r="K21" s="13" t="str">
        <f aca="false">IF(J21="","",INDEX(Annahmen!$B$34:$B$36,MATCH(J21,Annahmen!$A$34:$A$36,0)))</f>
        <v/>
      </c>
      <c r="L21" s="17" t="n">
        <f aca="false">IF(D21="Leerstand",F21*K21,H21)</f>
        <v>500</v>
      </c>
      <c r="M21" s="18" t="n">
        <f aca="false">IFERROR(G21/F21,"–")</f>
        <v>9.52380952380952</v>
      </c>
      <c r="N21" s="18" t="n">
        <f aca="false">IFERROR(H21/F21,"–")</f>
        <v>9.52380952380952</v>
      </c>
      <c r="O21" s="4" t="s">
        <v>96</v>
      </c>
    </row>
    <row r="22" customFormat="false" ht="15" hidden="false" customHeight="false" outlineLevel="0" collapsed="false">
      <c r="A22" s="4" t="s">
        <v>125</v>
      </c>
      <c r="B22" s="4" t="s">
        <v>112</v>
      </c>
      <c r="C22" s="4" t="s">
        <v>101</v>
      </c>
      <c r="D22" s="4" t="s">
        <v>94</v>
      </c>
      <c r="E22" s="4" t="s">
        <v>135</v>
      </c>
      <c r="F22" s="15" t="n">
        <v>72</v>
      </c>
      <c r="G22" s="16" t="n">
        <v>475.2</v>
      </c>
      <c r="H22" s="16" t="n">
        <v>475.2</v>
      </c>
      <c r="I22" s="16" t="n">
        <v>205</v>
      </c>
      <c r="J22" s="4"/>
      <c r="K22" s="13" t="str">
        <f aca="false">IF(J22="","",INDEX(Annahmen!$B$34:$B$36,MATCH(J22,Annahmen!$A$34:$A$36,0)))</f>
        <v/>
      </c>
      <c r="L22" s="17" t="n">
        <f aca="false">IF(D22="Leerstand",F22*K22,H22)</f>
        <v>475.2</v>
      </c>
      <c r="M22" s="18" t="n">
        <f aca="false">IFERROR(G22/F22,"–")</f>
        <v>6.6</v>
      </c>
      <c r="N22" s="18" t="n">
        <f aca="false">IFERROR(H22/F22,"–")</f>
        <v>6.6</v>
      </c>
      <c r="O22" s="4" t="s">
        <v>136</v>
      </c>
    </row>
    <row r="23" customFormat="false" ht="15" hidden="false" customHeight="false" outlineLevel="0" collapsed="false">
      <c r="A23" s="4" t="s">
        <v>125</v>
      </c>
      <c r="B23" s="4" t="s">
        <v>137</v>
      </c>
      <c r="C23" s="4" t="s">
        <v>101</v>
      </c>
      <c r="D23" s="4" t="s">
        <v>94</v>
      </c>
      <c r="E23" s="4" t="s">
        <v>138</v>
      </c>
      <c r="F23" s="15" t="n">
        <v>78.78</v>
      </c>
      <c r="G23" s="16" t="n">
        <v>680</v>
      </c>
      <c r="H23" s="16" t="n">
        <v>816</v>
      </c>
      <c r="I23" s="16" t="n">
        <v>160</v>
      </c>
      <c r="J23" s="4"/>
      <c r="K23" s="13" t="str">
        <f aca="false">IF(J23="","",INDEX(Annahmen!$B$34:$B$36,MATCH(J23,Annahmen!$A$34:$A$36,0)))</f>
        <v/>
      </c>
      <c r="L23" s="17" t="n">
        <f aca="false">IF(D23="Leerstand",F23*K23,H23)</f>
        <v>816</v>
      </c>
      <c r="M23" s="18" t="n">
        <f aca="false">IFERROR(G23/F23,"–")</f>
        <v>8.63163239400863</v>
      </c>
      <c r="N23" s="18" t="n">
        <f aca="false">IFERROR(H23/F23,"–")</f>
        <v>10.3579588728104</v>
      </c>
      <c r="O23" s="4" t="s">
        <v>139</v>
      </c>
    </row>
    <row r="24" customFormat="false" ht="15" hidden="false" customHeight="false" outlineLevel="0" collapsed="false">
      <c r="A24" s="4" t="s">
        <v>125</v>
      </c>
      <c r="B24" s="4" t="s">
        <v>140</v>
      </c>
      <c r="C24" s="4" t="s">
        <v>93</v>
      </c>
      <c r="D24" s="4" t="s">
        <v>94</v>
      </c>
      <c r="E24" s="4" t="s">
        <v>141</v>
      </c>
      <c r="F24" s="15" t="n">
        <v>81.92</v>
      </c>
      <c r="G24" s="16" t="n">
        <v>540</v>
      </c>
      <c r="H24" s="16" t="n">
        <v>648</v>
      </c>
      <c r="I24" s="16" t="n">
        <v>60</v>
      </c>
      <c r="J24" s="4"/>
      <c r="K24" s="13" t="str">
        <f aca="false">IF(J24="","",INDEX(Annahmen!$B$34:$B$36,MATCH(J24,Annahmen!$A$34:$A$36,0)))</f>
        <v/>
      </c>
      <c r="L24" s="17" t="n">
        <f aca="false">IF(D24="Leerstand",F24*K24,H24)</f>
        <v>648</v>
      </c>
      <c r="M24" s="18" t="n">
        <f aca="false">IFERROR(G24/F24,"–")</f>
        <v>6.591796875</v>
      </c>
      <c r="N24" s="18" t="n">
        <f aca="false">IFERROR(H24/F24,"–")</f>
        <v>7.91015625</v>
      </c>
      <c r="O24" s="4" t="s">
        <v>142</v>
      </c>
    </row>
    <row r="25" customFormat="false" ht="15" hidden="false" customHeight="false" outlineLevel="0" collapsed="false">
      <c r="A25" s="23" t="s">
        <v>125</v>
      </c>
      <c r="B25" s="23" t="s">
        <v>143</v>
      </c>
      <c r="C25" s="23" t="s">
        <v>93</v>
      </c>
      <c r="D25" s="23" t="s">
        <v>109</v>
      </c>
      <c r="E25" s="23" t="s">
        <v>109</v>
      </c>
      <c r="F25" s="15" t="n">
        <v>208.08</v>
      </c>
      <c r="G25" s="16" t="n">
        <v>0</v>
      </c>
      <c r="H25" s="16" t="n">
        <v>0</v>
      </c>
      <c r="I25" s="16" t="n">
        <v>0</v>
      </c>
      <c r="J25" s="4" t="s">
        <v>64</v>
      </c>
      <c r="K25" s="13" t="n">
        <f aca="false">IF(J25="","",INDEX(Annahmen!$B$34:$B$36,MATCH(J25,Annahmen!$A$34:$A$36,0)))</f>
        <v>5</v>
      </c>
      <c r="L25" s="17" t="n">
        <f aca="false">IF(D25="Leerstand",F25*K25,H25)</f>
        <v>1040.4</v>
      </c>
      <c r="M25" s="18" t="n">
        <f aca="false">IFERROR(G25/F25,"–")</f>
        <v>0</v>
      </c>
      <c r="N25" s="18" t="n">
        <f aca="false">IFERROR(H25/F25,"–")</f>
        <v>0</v>
      </c>
      <c r="O25" s="4" t="s">
        <v>110</v>
      </c>
    </row>
    <row r="26" customFormat="false" ht="15" hidden="false" customHeight="false" outlineLevel="0" collapsed="false">
      <c r="A26" s="19" t="s">
        <v>144</v>
      </c>
      <c r="B26" s="19" t="str">
        <f aca="false">COUNTIF(D17:D25,"vermietet")&amp;" von "&amp;9&amp;" vermietet"</f>
        <v>6 von 9 vermietet</v>
      </c>
      <c r="C26" s="19"/>
      <c r="D26" s="19"/>
      <c r="E26" s="19"/>
      <c r="F26" s="20" t="n">
        <f aca="false">SUM(F17:F25)</f>
        <v>675.78</v>
      </c>
      <c r="G26" s="21" t="n">
        <f aca="false">SUM(G17:G25)</f>
        <v>3193.6</v>
      </c>
      <c r="H26" s="21" t="n">
        <f aca="false">SUM(H17:H25)</f>
        <v>3437.6</v>
      </c>
      <c r="I26" s="21" t="n">
        <f aca="false">SUM(I17:I25)</f>
        <v>966.6</v>
      </c>
      <c r="J26" s="19"/>
      <c r="K26" s="19"/>
      <c r="L26" s="21" t="n">
        <f aca="false">SUM(L17:L25)</f>
        <v>4954</v>
      </c>
      <c r="M26" s="22" t="n">
        <f aca="false">SUMIF(D17:D25,"vermietet",G17:G25)/SUMIF(D17:D25,"vermietet",F17:F25)</f>
        <v>7.82361587457129</v>
      </c>
      <c r="N26" s="22" t="n">
        <f aca="false">SUMIF(D17:D25,"vermietet",H17:H25)/SUMIF(D17:D25,"vermietet",F17:F25)</f>
        <v>8.42136207741303</v>
      </c>
      <c r="O26" s="19"/>
    </row>
    <row r="27" customFormat="false" ht="15" hidden="false" customHeight="false" outlineLevel="0" collapsed="false">
      <c r="A27" s="24" t="s">
        <v>145</v>
      </c>
      <c r="B27" s="24"/>
      <c r="C27" s="24"/>
      <c r="D27" s="24"/>
      <c r="E27" s="24"/>
      <c r="F27" s="25" t="n">
        <f aca="false">F9+F16+F26</f>
        <v>1656.12</v>
      </c>
      <c r="G27" s="26" t="n">
        <f aca="false">G9+G16+G26</f>
        <v>7659.1</v>
      </c>
      <c r="H27" s="26" t="n">
        <f aca="false">H9+H16+H26</f>
        <v>8339.2</v>
      </c>
      <c r="I27" s="26" t="n">
        <f aca="false">I9+I16+I26</f>
        <v>2246.1</v>
      </c>
      <c r="J27" s="24"/>
      <c r="K27" s="24"/>
      <c r="L27" s="26" t="n">
        <f aca="false">L9+L16+L26</f>
        <v>11585.6</v>
      </c>
      <c r="M27" s="27" t="n">
        <f aca="false">SUMIF($D$5:$D$25,"vermietet",$G$5:$G$25)/SUMIF($D$5:$D$25,"vermietet",$F$5:$F$25)</f>
        <v>7.04259153686301</v>
      </c>
      <c r="N27" s="27" t="n">
        <f aca="false">SUMIF($D$5:$D$25,"vermietet",$H$5:$H$25)/SUMIF($D$5:$D$25,"vermietet",$F$5:$F$25)</f>
        <v>7.66794784559649</v>
      </c>
      <c r="O27" s="24"/>
    </row>
    <row r="29" customFormat="false" ht="33.75" hidden="false" customHeight="true" outlineLevel="0" collapsed="false">
      <c r="A29" s="28" t="s">
        <v>146</v>
      </c>
      <c r="B29" s="28"/>
      <c r="C29" s="28"/>
      <c r="D29" s="28"/>
      <c r="E29" s="28"/>
      <c r="F29" s="28"/>
      <c r="G29" s="28"/>
      <c r="H29" s="28"/>
      <c r="I29" s="28"/>
      <c r="J29" s="28"/>
      <c r="K29" s="28"/>
      <c r="L29" s="28"/>
      <c r="M29" s="28"/>
      <c r="N29" s="28"/>
      <c r="O29" s="28"/>
    </row>
  </sheetData>
  <mergeCells count="1">
    <mergeCell ref="A29:O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2"/>
    <col collapsed="false" customWidth="true" hidden="false" outlineLevel="0" max="2" min="2" style="0" width="15"/>
    <col collapsed="false" customWidth="true" hidden="false" outlineLevel="0" max="3" min="3" style="0" width="13"/>
    <col collapsed="false" customWidth="true" hidden="false" outlineLevel="0" max="4" min="4" style="0" width="16"/>
    <col collapsed="false" customWidth="true" hidden="false" outlineLevel="0" max="5" min="5" style="0" width="14"/>
    <col collapsed="false" customWidth="true" hidden="false" outlineLevel="0" max="7" min="6" style="0" width="13"/>
    <col collapsed="false" customWidth="true" hidden="false" outlineLevel="0" max="8" min="8" style="0" width="15"/>
    <col collapsed="false" customWidth="true" hidden="false" outlineLevel="0" max="9" min="9" style="0" width="14"/>
    <col collapsed="false" customWidth="true" hidden="false" outlineLevel="0" max="10" min="10" style="0" width="18"/>
    <col collapsed="false" customWidth="true" hidden="false" outlineLevel="0" max="12" min="11" style="0" width="16"/>
  </cols>
  <sheetData>
    <row r="1" customFormat="false" ht="21.75" hidden="false" customHeight="true" outlineLevel="0" collapsed="false">
      <c r="A1" s="1" t="s">
        <v>147</v>
      </c>
    </row>
    <row r="2" customFormat="false" ht="15" hidden="false" customHeight="false" outlineLevel="0" collapsed="false">
      <c r="A2" s="2" t="s">
        <v>148</v>
      </c>
    </row>
    <row r="4" customFormat="false" ht="30" hidden="false" customHeight="true" outlineLevel="0" collapsed="false">
      <c r="A4" s="12" t="s">
        <v>77</v>
      </c>
      <c r="B4" s="12" t="s">
        <v>149</v>
      </c>
      <c r="C4" s="12" t="s">
        <v>150</v>
      </c>
      <c r="D4" s="12" t="s">
        <v>151</v>
      </c>
      <c r="E4" s="12" t="s">
        <v>152</v>
      </c>
      <c r="F4" s="12" t="s">
        <v>153</v>
      </c>
      <c r="G4" s="12" t="s">
        <v>154</v>
      </c>
      <c r="H4" s="12" t="s">
        <v>155</v>
      </c>
      <c r="I4" s="12" t="s">
        <v>156</v>
      </c>
      <c r="J4" s="12" t="s">
        <v>157</v>
      </c>
      <c r="K4" s="12" t="s">
        <v>158</v>
      </c>
      <c r="L4" s="12" t="s">
        <v>159</v>
      </c>
    </row>
    <row r="5" customFormat="false" ht="15" hidden="false" customHeight="false" outlineLevel="0" collapsed="false">
      <c r="A5" s="4" t="s">
        <v>91</v>
      </c>
      <c r="B5" s="29" t="n">
        <f aca="false">SUMIFS(Mietregister!$F$5:$F$8,Mietregister!$C$5:$C$8,"Wohnen",Mietregister!$D$5:$D$8,"vermietet")</f>
        <v>240</v>
      </c>
      <c r="C5" s="29" t="n">
        <f aca="false">SUMIFS(Mietregister!$F$5:$F$8,Mietregister!$C$5:$C$8,"Wohnen",Mietregister!$D$5:$D$8,"Leerstand")</f>
        <v>0</v>
      </c>
      <c r="D5" s="29" t="n">
        <f aca="false">SUMIFS(Mietregister!$F$5:$F$8,Mietregister!$C$5:$C$8,"Gewerbe",Mietregister!$D$5:$D$8,"vermietet")</f>
        <v>165</v>
      </c>
      <c r="E5" s="29" t="n">
        <f aca="false">SUMIFS(Mietregister!$F$5:$F$8,Mietregister!$C$5:$C$8,"Gewerbe",Mietregister!$D$5:$D$8,"Leerstand")</f>
        <v>0</v>
      </c>
      <c r="F5" s="30" t="n">
        <f aca="false">B5+D5</f>
        <v>405</v>
      </c>
      <c r="G5" s="30" t="n">
        <f aca="false">C5+E5</f>
        <v>0</v>
      </c>
      <c r="H5" s="30" t="n">
        <f aca="false">F5+G5</f>
        <v>405</v>
      </c>
      <c r="I5" s="31" t="n">
        <f aca="false">F5/H5</f>
        <v>1</v>
      </c>
      <c r="J5" s="15" t="n">
        <v>402.52</v>
      </c>
      <c r="K5" s="15" t="n">
        <v>202.76</v>
      </c>
      <c r="L5" s="18" t="n">
        <f aca="false">H5-J5</f>
        <v>2.48000000000002</v>
      </c>
    </row>
    <row r="6" customFormat="false" ht="15" hidden="false" customHeight="false" outlineLevel="0" collapsed="false">
      <c r="A6" s="4" t="s">
        <v>108</v>
      </c>
      <c r="B6" s="29" t="n">
        <f aca="false">SUMIFS(Mietregister!$F$10:$F$15,Mietregister!$C$10:$C$15,"Wohnen",Mietregister!$D$10:$D$15,"vermietet")</f>
        <v>274.34</v>
      </c>
      <c r="C6" s="29" t="n">
        <f aca="false">SUMIFS(Mietregister!$F$10:$F$15,Mietregister!$C$10:$C$15,"Wohnen",Mietregister!$D$10:$D$15,"Leerstand")</f>
        <v>0</v>
      </c>
      <c r="D6" s="29" t="n">
        <f aca="false">SUMIFS(Mietregister!$F$10:$F$15,Mietregister!$C$10:$C$15,"Gewerbe",Mietregister!$D$10:$D$15,"vermietet")</f>
        <v>0</v>
      </c>
      <c r="E6" s="29" t="n">
        <f aca="false">SUMIFS(Mietregister!$F$10:$F$15,Mietregister!$C$10:$C$15,"Gewerbe",Mietregister!$D$10:$D$15,"Leerstand")</f>
        <v>301</v>
      </c>
      <c r="F6" s="30" t="n">
        <f aca="false">B6+D6</f>
        <v>274.34</v>
      </c>
      <c r="G6" s="30" t="n">
        <f aca="false">C6+E6</f>
        <v>301</v>
      </c>
      <c r="H6" s="30" t="n">
        <f aca="false">F6+G6</f>
        <v>575.34</v>
      </c>
      <c r="I6" s="31" t="n">
        <f aca="false">F6/H6</f>
        <v>0.476831091180867</v>
      </c>
      <c r="J6" s="15" t="n">
        <v>554.94</v>
      </c>
      <c r="K6" s="15" t="n">
        <v>278.86</v>
      </c>
      <c r="L6" s="18" t="n">
        <f aca="false">H6-J6</f>
        <v>20.4</v>
      </c>
    </row>
    <row r="7" customFormat="false" ht="15" hidden="false" customHeight="false" outlineLevel="0" collapsed="false">
      <c r="A7" s="4" t="s">
        <v>125</v>
      </c>
      <c r="B7" s="29" t="n">
        <f aca="false">SUMIFS(Mietregister!$F$17:$F$25,Mietregister!$C$17:$C$25,"Wohnen",Mietregister!$D$17:$D$25,"vermietet")</f>
        <v>326.28</v>
      </c>
      <c r="C7" s="29" t="n">
        <f aca="false">SUMIFS(Mietregister!$F$17:$F$25,Mietregister!$C$17:$C$25,"Wohnen",Mietregister!$D$17:$D$25,"Leerstand")</f>
        <v>59.5</v>
      </c>
      <c r="D7" s="29" t="n">
        <f aca="false">SUMIFS(Mietregister!$F$17:$F$25,Mietregister!$C$17:$C$25,"Gewerbe",Mietregister!$D$17:$D$25,"vermietet")</f>
        <v>81.92</v>
      </c>
      <c r="E7" s="29" t="n">
        <f aca="false">SUMIFS(Mietregister!$F$17:$F$25,Mietregister!$C$17:$C$25,"Gewerbe",Mietregister!$D$17:$D$25,"Leerstand")</f>
        <v>208.08</v>
      </c>
      <c r="F7" s="30" t="n">
        <f aca="false">B7+D7</f>
        <v>408.2</v>
      </c>
      <c r="G7" s="30" t="n">
        <f aca="false">C7+E7</f>
        <v>267.58</v>
      </c>
      <c r="H7" s="30" t="n">
        <f aca="false">F7+G7</f>
        <v>675.78</v>
      </c>
      <c r="I7" s="31" t="n">
        <f aca="false">F7/H7</f>
        <v>0.604042735801592</v>
      </c>
      <c r="J7" s="15" t="n">
        <v>705.2</v>
      </c>
      <c r="K7" s="15" t="n">
        <v>225.16</v>
      </c>
      <c r="L7" s="18" t="n">
        <f aca="false">H7-J7</f>
        <v>-29.4200000000001</v>
      </c>
    </row>
    <row r="8" customFormat="false" ht="15" hidden="false" customHeight="false" outlineLevel="0" collapsed="false">
      <c r="A8" s="24" t="s">
        <v>160</v>
      </c>
      <c r="B8" s="25" t="n">
        <f aca="false">SUM(B5:B7)</f>
        <v>840.62</v>
      </c>
      <c r="C8" s="25" t="n">
        <f aca="false">SUM(C5:C7)</f>
        <v>59.5</v>
      </c>
      <c r="D8" s="25" t="n">
        <f aca="false">SUM(D5:D7)</f>
        <v>246.92</v>
      </c>
      <c r="E8" s="25" t="n">
        <f aca="false">SUM(E5:E7)</f>
        <v>509.08</v>
      </c>
      <c r="F8" s="25" t="n">
        <f aca="false">SUM(F5:F7)</f>
        <v>1087.54</v>
      </c>
      <c r="G8" s="25" t="n">
        <f aca="false">SUM(G5:G7)</f>
        <v>568.58</v>
      </c>
      <c r="H8" s="25" t="n">
        <f aca="false">SUM(H5:H7)</f>
        <v>1656.12</v>
      </c>
      <c r="I8" s="32" t="n">
        <f aca="false">F8/H8</f>
        <v>0.656679467671425</v>
      </c>
      <c r="J8" s="25" t="n">
        <f aca="false">SUM(J5:J7)</f>
        <v>1662.66</v>
      </c>
      <c r="K8" s="25" t="n">
        <f aca="false">SUM(K5:K7)</f>
        <v>706.78</v>
      </c>
      <c r="L8" s="27" t="n">
        <f aca="false">H8-J8</f>
        <v>-6.54000000000019</v>
      </c>
    </row>
    <row r="10" customFormat="false" ht="15" hidden="false" customHeight="false" outlineLevel="0" collapsed="false">
      <c r="A10" s="11" t="s">
        <v>161</v>
      </c>
    </row>
    <row r="11" customFormat="false" ht="30" hidden="false" customHeight="true" outlineLevel="0" collapsed="false">
      <c r="A11" s="12" t="s">
        <v>162</v>
      </c>
      <c r="B11" s="12" t="s">
        <v>46</v>
      </c>
      <c r="C11" s="12" t="s">
        <v>77</v>
      </c>
      <c r="D11" s="12"/>
    </row>
    <row r="12" customFormat="false" ht="15" hidden="false" customHeight="false" outlineLevel="0" collapsed="false">
      <c r="A12" s="4" t="s">
        <v>163</v>
      </c>
      <c r="B12" s="15" t="n">
        <v>100.31</v>
      </c>
      <c r="C12" s="4" t="s">
        <v>91</v>
      </c>
      <c r="D12" s="4"/>
    </row>
    <row r="13" customFormat="false" ht="15" hidden="false" customHeight="false" outlineLevel="0" collapsed="false">
      <c r="A13" s="4" t="s">
        <v>164</v>
      </c>
      <c r="B13" s="15" t="n">
        <v>64.53</v>
      </c>
      <c r="C13" s="4" t="s">
        <v>108</v>
      </c>
      <c r="D13" s="4"/>
    </row>
    <row r="14" customFormat="false" ht="15" hidden="false" customHeight="false" outlineLevel="0" collapsed="false">
      <c r="A14" s="4" t="s">
        <v>165</v>
      </c>
      <c r="B14" s="15" t="n">
        <v>75.11</v>
      </c>
      <c r="C14" s="4" t="s">
        <v>91</v>
      </c>
      <c r="D14" s="4"/>
    </row>
    <row r="15" customFormat="false" ht="15" hidden="false" customHeight="false" outlineLevel="0" collapsed="false">
      <c r="A15" s="4" t="s">
        <v>166</v>
      </c>
      <c r="B15" s="15" t="n">
        <v>180.44</v>
      </c>
      <c r="C15" s="4" t="s">
        <v>108</v>
      </c>
      <c r="D15" s="4"/>
    </row>
    <row r="16" customFormat="false" ht="15" hidden="false" customHeight="false" outlineLevel="0" collapsed="false">
      <c r="A16" s="4" t="s">
        <v>167</v>
      </c>
      <c r="B16" s="15" t="n">
        <v>194.38</v>
      </c>
      <c r="C16" s="4" t="s">
        <v>125</v>
      </c>
      <c r="D16" s="4"/>
    </row>
    <row r="17" customFormat="false" ht="15" hidden="false" customHeight="false" outlineLevel="0" collapsed="false">
      <c r="A17" s="19" t="s">
        <v>168</v>
      </c>
      <c r="B17" s="20" t="n">
        <f aca="false">SUM(B12:B16)</f>
        <v>614.77</v>
      </c>
      <c r="C17" s="19"/>
      <c r="D17" s="19"/>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2"/>
    <col collapsed="false" customWidth="true" hidden="false" outlineLevel="0" max="4" min="2" style="0" width="15"/>
    <col collapsed="false" customWidth="true" hidden="false" outlineLevel="0" max="5" min="5" style="0" width="17"/>
    <col collapsed="false" customWidth="true" hidden="false" outlineLevel="0" max="7" min="6" style="0" width="11"/>
    <col collapsed="false" customWidth="true" hidden="false" outlineLevel="0" max="8" min="8" style="0" width="13"/>
    <col collapsed="false" customWidth="true" hidden="false" outlineLevel="0" max="10" min="9" style="0" width="11"/>
    <col collapsed="false" customWidth="true" hidden="false" outlineLevel="0" max="11" min="11" style="0" width="13"/>
    <col collapsed="false" customWidth="true" hidden="false" outlineLevel="0" max="13" min="12" style="0" width="14"/>
    <col collapsed="false" customWidth="true" hidden="false" outlineLevel="0" max="14" min="14" style="0" width="13"/>
  </cols>
  <sheetData>
    <row r="1" customFormat="false" ht="21.75" hidden="false" customHeight="true" outlineLevel="0" collapsed="false">
      <c r="A1" s="1" t="s">
        <v>169</v>
      </c>
    </row>
    <row r="2" customFormat="false" ht="15" hidden="false" customHeight="false" outlineLevel="0" collapsed="false">
      <c r="A2" s="2" t="s">
        <v>170</v>
      </c>
    </row>
    <row r="4" customFormat="false" ht="30" hidden="false" customHeight="true" outlineLevel="0" collapsed="false">
      <c r="A4" s="12" t="s">
        <v>77</v>
      </c>
      <c r="B4" s="12" t="s">
        <v>171</v>
      </c>
      <c r="C4" s="12" t="s">
        <v>172</v>
      </c>
      <c r="D4" s="12" t="s">
        <v>173</v>
      </c>
      <c r="E4" s="12" t="s">
        <v>174</v>
      </c>
      <c r="F4" s="12" t="s">
        <v>175</v>
      </c>
      <c r="G4" s="12" t="s">
        <v>176</v>
      </c>
      <c r="H4" s="12" t="s">
        <v>177</v>
      </c>
      <c r="I4" s="12" t="s">
        <v>178</v>
      </c>
      <c r="J4" s="12" t="s">
        <v>179</v>
      </c>
      <c r="K4" s="12" t="s">
        <v>180</v>
      </c>
      <c r="L4" s="12" t="s">
        <v>181</v>
      </c>
      <c r="M4" s="12" t="s">
        <v>182</v>
      </c>
      <c r="N4" s="12" t="s">
        <v>183</v>
      </c>
    </row>
    <row r="5" customFormat="false" ht="15" hidden="false" customHeight="false" outlineLevel="0" collapsed="false">
      <c r="A5" s="4" t="s">
        <v>91</v>
      </c>
      <c r="B5" s="33" t="n">
        <f aca="false">Annahmen!$B$5</f>
        <v>610000</v>
      </c>
      <c r="C5" s="34" t="n">
        <f aca="false">Mietregister!G9*12</f>
        <v>34320</v>
      </c>
      <c r="D5" s="34" t="n">
        <f aca="false">Mietregister!H9*12</f>
        <v>37620</v>
      </c>
      <c r="E5" s="34" t="n">
        <f aca="false">Mietregister!L9*12</f>
        <v>37620</v>
      </c>
      <c r="F5" s="35" t="n">
        <f aca="false">B5/C5</f>
        <v>17.7738927738928</v>
      </c>
      <c r="G5" s="35" t="n">
        <f aca="false">B5/D5</f>
        <v>16.2147793726741</v>
      </c>
      <c r="H5" s="35" t="n">
        <f aca="false">B5/E5</f>
        <v>16.2147793726741</v>
      </c>
      <c r="I5" s="36" t="n">
        <f aca="false">C5/B5</f>
        <v>0.0562622950819672</v>
      </c>
      <c r="J5" s="36" t="n">
        <f aca="false">D5/B5</f>
        <v>0.061672131147541</v>
      </c>
      <c r="K5" s="36" t="n">
        <f aca="false">E5/B5</f>
        <v>0.061672131147541</v>
      </c>
      <c r="L5" s="37" t="n">
        <f aca="false">B5/Flächenabgleich!F5</f>
        <v>1506.17283950617</v>
      </c>
      <c r="M5" s="37" t="n">
        <f aca="false">B5/Flächenabgleich!H5</f>
        <v>1506.17283950617</v>
      </c>
      <c r="N5" s="37" t="n">
        <f aca="false">B5/Flächenabgleich!J5</f>
        <v>1515.45264831561</v>
      </c>
    </row>
    <row r="6" customFormat="false" ht="15" hidden="false" customHeight="false" outlineLevel="0" collapsed="false">
      <c r="A6" s="4" t="s">
        <v>108</v>
      </c>
      <c r="B6" s="33" t="n">
        <f aca="false">Annahmen!$B$6</f>
        <v>340000</v>
      </c>
      <c r="C6" s="34" t="n">
        <f aca="false">Mietregister!G16*12</f>
        <v>19266</v>
      </c>
      <c r="D6" s="34" t="n">
        <f aca="false">Mietregister!H16*12</f>
        <v>21199.2</v>
      </c>
      <c r="E6" s="34" t="n">
        <f aca="false">Mietregister!L16*12</f>
        <v>41959.2</v>
      </c>
      <c r="F6" s="35" t="n">
        <f aca="false">B6/C6</f>
        <v>17.6476694695318</v>
      </c>
      <c r="G6" s="35" t="n">
        <f aca="false">B6/D6</f>
        <v>16.0383410694743</v>
      </c>
      <c r="H6" s="35" t="n">
        <f aca="false">B6/E6</f>
        <v>8.10310968750596</v>
      </c>
      <c r="I6" s="36" t="n">
        <f aca="false">C6/B6</f>
        <v>0.0566647058823529</v>
      </c>
      <c r="J6" s="36" t="n">
        <f aca="false">D6/B6</f>
        <v>0.0623505882352941</v>
      </c>
      <c r="K6" s="36" t="n">
        <f aca="false">E6/B6</f>
        <v>0.123409411764706</v>
      </c>
      <c r="L6" s="37" t="n">
        <f aca="false">B6/Flächenabgleich!F6</f>
        <v>1239.33804767806</v>
      </c>
      <c r="M6" s="37" t="n">
        <f aca="false">B6/Flächenabgleich!H6</f>
        <v>590.954913616296</v>
      </c>
      <c r="N6" s="37" t="n">
        <f aca="false">B6/Flächenabgleich!J6</f>
        <v>612.678848163765</v>
      </c>
    </row>
    <row r="7" customFormat="false" ht="15" hidden="false" customHeight="false" outlineLevel="0" collapsed="false">
      <c r="A7" s="4" t="s">
        <v>125</v>
      </c>
      <c r="B7" s="33" t="n">
        <f aca="false">Annahmen!$B$7</f>
        <v>655000</v>
      </c>
      <c r="C7" s="34" t="n">
        <f aca="false">Mietregister!G26*12</f>
        <v>38323.2</v>
      </c>
      <c r="D7" s="34" t="n">
        <f aca="false">Mietregister!H26*12</f>
        <v>41251.2</v>
      </c>
      <c r="E7" s="34" t="n">
        <f aca="false">Mietregister!L26*12</f>
        <v>59448</v>
      </c>
      <c r="F7" s="35" t="n">
        <f aca="false">B7/C7</f>
        <v>17.0914746158985</v>
      </c>
      <c r="G7" s="35" t="n">
        <f aca="false">B7/D7</f>
        <v>15.8783259638508</v>
      </c>
      <c r="H7" s="35" t="n">
        <f aca="false">B7/E7</f>
        <v>11.0180325662764</v>
      </c>
      <c r="I7" s="36" t="n">
        <f aca="false">C7/B7</f>
        <v>0.0585087022900763</v>
      </c>
      <c r="J7" s="36" t="n">
        <f aca="false">D7/B7</f>
        <v>0.0629789312977099</v>
      </c>
      <c r="K7" s="36" t="n">
        <f aca="false">E7/B7</f>
        <v>0.0907603053435115</v>
      </c>
      <c r="L7" s="37" t="n">
        <f aca="false">B7/Flächenabgleich!F7</f>
        <v>1604.60558549731</v>
      </c>
      <c r="M7" s="37" t="n">
        <f aca="false">B7/Flächenabgleich!H7</f>
        <v>969.250347746308</v>
      </c>
      <c r="N7" s="37" t="n">
        <f aca="false">B7/Flächenabgleich!J7</f>
        <v>928.814520703347</v>
      </c>
    </row>
    <row r="8" customFormat="false" ht="15" hidden="false" customHeight="false" outlineLevel="0" collapsed="false">
      <c r="A8" s="19" t="s">
        <v>184</v>
      </c>
      <c r="B8" s="38" t="n">
        <f aca="false">SUM(B5:B7)</f>
        <v>1605000</v>
      </c>
      <c r="C8" s="21" t="n">
        <f aca="false">SUM(C5:C7)</f>
        <v>91909.2</v>
      </c>
      <c r="D8" s="21" t="n">
        <f aca="false">SUM(D5:D7)</f>
        <v>100070.4</v>
      </c>
      <c r="E8" s="21" t="n">
        <f aca="false">SUM(E5:E7)</f>
        <v>139027.2</v>
      </c>
      <c r="F8" s="19"/>
      <c r="G8" s="19"/>
      <c r="H8" s="19"/>
      <c r="I8" s="19"/>
      <c r="J8" s="19"/>
      <c r="K8" s="19"/>
      <c r="L8" s="19"/>
      <c r="M8" s="19"/>
      <c r="N8" s="19"/>
    </row>
    <row r="9" customFormat="false" ht="15" hidden="false" customHeight="false" outlineLevel="0" collapsed="false">
      <c r="A9" s="24" t="s">
        <v>185</v>
      </c>
      <c r="B9" s="39" t="n">
        <f aca="false">Annahmen!$B$8</f>
        <v>1500000</v>
      </c>
      <c r="C9" s="40" t="n">
        <f aca="false">C8</f>
        <v>91909.2</v>
      </c>
      <c r="D9" s="40" t="n">
        <f aca="false">D8</f>
        <v>100070.4</v>
      </c>
      <c r="E9" s="40" t="n">
        <f aca="false">E8</f>
        <v>139027.2</v>
      </c>
      <c r="F9" s="41" t="n">
        <f aca="false">B9/C9</f>
        <v>16.3204554059876</v>
      </c>
      <c r="G9" s="41" t="n">
        <f aca="false">B9/D9</f>
        <v>14.98944742901</v>
      </c>
      <c r="H9" s="41" t="n">
        <f aca="false">B9/E9</f>
        <v>10.7892556276757</v>
      </c>
      <c r="I9" s="42" t="n">
        <f aca="false">C9/B9</f>
        <v>0.0612728</v>
      </c>
      <c r="J9" s="42" t="n">
        <f aca="false">D9/B9</f>
        <v>0.0667136</v>
      </c>
      <c r="K9" s="42" t="n">
        <f aca="false">E9/B9</f>
        <v>0.0926848</v>
      </c>
      <c r="L9" s="43" t="n">
        <f aca="false">B9/Flächenabgleich!F8</f>
        <v>1379.25961343951</v>
      </c>
      <c r="M9" s="43" t="n">
        <f aca="false">B9/Flächenabgleich!H8</f>
        <v>905.73146873415</v>
      </c>
      <c r="N9" s="43" t="n">
        <f aca="false">B9/Flächenabgleich!J8</f>
        <v>902.168813828444</v>
      </c>
    </row>
    <row r="10" customFormat="false" ht="15" hidden="false" customHeight="false" outlineLevel="0" collapsed="false">
      <c r="A10" s="44" t="s">
        <v>186</v>
      </c>
      <c r="B10" s="45" t="n">
        <f aca="false">B8-B9</f>
        <v>105000</v>
      </c>
      <c r="C10" s="46" t="n">
        <f aca="false">-(B8-B9)/B8</f>
        <v>-0.0654205607476635</v>
      </c>
      <c r="D10" s="4"/>
      <c r="E10" s="4"/>
      <c r="F10" s="4"/>
      <c r="G10" s="4"/>
      <c r="H10" s="4"/>
      <c r="I10" s="4"/>
      <c r="J10" s="4"/>
      <c r="K10" s="4"/>
      <c r="L10" s="4"/>
      <c r="M10" s="4"/>
      <c r="N10" s="4"/>
    </row>
    <row r="12" customFormat="false" ht="15" hidden="false" customHeight="false" outlineLevel="0" collapsed="false">
      <c r="A12" s="11" t="s">
        <v>187</v>
      </c>
    </row>
    <row r="13" customFormat="false" ht="30" hidden="false" customHeight="true" outlineLevel="0" collapsed="false">
      <c r="A13" s="12" t="s">
        <v>162</v>
      </c>
      <c r="B13" s="12" t="s">
        <v>188</v>
      </c>
      <c r="C13" s="12" t="s">
        <v>189</v>
      </c>
      <c r="D13" s="12" t="s">
        <v>190</v>
      </c>
    </row>
    <row r="14" customFormat="false" ht="15" hidden="false" customHeight="false" outlineLevel="0" collapsed="false">
      <c r="A14" s="4" t="s">
        <v>191</v>
      </c>
      <c r="B14" s="17" t="n">
        <f aca="false">Preisfindung!C9</f>
        <v>91909.2</v>
      </c>
      <c r="C14" s="17" t="n">
        <f aca="false">Preisfindung!D9</f>
        <v>100070.4</v>
      </c>
      <c r="D14" s="17" t="n">
        <f aca="false">Preisfindung!E9</f>
        <v>139027.2</v>
      </c>
    </row>
    <row r="15" customFormat="false" ht="15" hidden="false" customHeight="false" outlineLevel="0" collapsed="false">
      <c r="A15" s="4" t="s">
        <v>192</v>
      </c>
      <c r="B15" s="17" t="n">
        <f aca="false">-B14*Annahmen!$B$10</f>
        <v>-24815.484</v>
      </c>
      <c r="C15" s="17" t="n">
        <f aca="false">-C14*Annahmen!$B$10</f>
        <v>-27019.008</v>
      </c>
      <c r="D15" s="17" t="n">
        <f aca="false">-D14*Annahmen!$B$10</f>
        <v>-37537.344</v>
      </c>
    </row>
    <row r="16" customFormat="false" ht="15" hidden="false" customHeight="false" outlineLevel="0" collapsed="false">
      <c r="A16" s="19" t="s">
        <v>193</v>
      </c>
      <c r="B16" s="21" t="n">
        <f aca="false">B14+B15</f>
        <v>67093.716</v>
      </c>
      <c r="C16" s="21" t="n">
        <f aca="false">C14+C15</f>
        <v>73051.392</v>
      </c>
      <c r="D16" s="21" t="n">
        <f aca="false">D14+D15</f>
        <v>101489.856</v>
      </c>
    </row>
    <row r="17" customFormat="false" ht="15" hidden="false" customHeight="false" outlineLevel="0" collapsed="false">
      <c r="A17" s="4" t="s">
        <v>194</v>
      </c>
      <c r="B17" s="36" t="n">
        <f aca="false">B16/$B$9</f>
        <v>0.044729144</v>
      </c>
      <c r="C17" s="36" t="n">
        <f aca="false">C16/$B$9</f>
        <v>0.048700928</v>
      </c>
      <c r="D17" s="36" t="n">
        <f aca="false">D16/$B$9</f>
        <v>0.067659904</v>
      </c>
    </row>
    <row r="19" customFormat="false" ht="15" hidden="false" customHeight="false" outlineLevel="0" collapsed="false">
      <c r="A19" s="11" t="s">
        <v>195</v>
      </c>
    </row>
    <row r="20" customFormat="false" ht="30" hidden="false" customHeight="true" outlineLevel="0" collapsed="false">
      <c r="A20" s="12" t="s">
        <v>196</v>
      </c>
      <c r="B20" s="12" t="s">
        <v>188</v>
      </c>
      <c r="C20" s="12" t="s">
        <v>189</v>
      </c>
      <c r="D20" s="12" t="s">
        <v>190</v>
      </c>
    </row>
    <row r="21" customFormat="false" ht="15" hidden="false" customHeight="false" outlineLevel="0" collapsed="false">
      <c r="A21" s="8" t="n">
        <v>0.045</v>
      </c>
      <c r="B21" s="37" t="n">
        <f aca="false">B16/$A21</f>
        <v>1490971.46666667</v>
      </c>
      <c r="C21" s="37" t="n">
        <f aca="false">C16/$A21</f>
        <v>1623364.26666667</v>
      </c>
      <c r="D21" s="37" t="n">
        <f aca="false">D16/$A21</f>
        <v>2255330.13333333</v>
      </c>
    </row>
    <row r="22" customFormat="false" ht="15" hidden="false" customHeight="false" outlineLevel="0" collapsed="false">
      <c r="A22" s="8" t="n">
        <v>0.05</v>
      </c>
      <c r="B22" s="37" t="n">
        <f aca="false">B16/$A22</f>
        <v>1341874.32</v>
      </c>
      <c r="C22" s="37" t="n">
        <f aca="false">C16/$A22</f>
        <v>1461027.84</v>
      </c>
      <c r="D22" s="37" t="n">
        <f aca="false">D16/$A22</f>
        <v>2029797.12</v>
      </c>
    </row>
    <row r="23" customFormat="false" ht="15" hidden="false" customHeight="false" outlineLevel="0" collapsed="false">
      <c r="A23" s="8" t="n">
        <v>0.055</v>
      </c>
      <c r="B23" s="37" t="n">
        <f aca="false">B16/$A23</f>
        <v>1219885.74545455</v>
      </c>
      <c r="C23" s="37" t="n">
        <f aca="false">C16/$A23</f>
        <v>1328207.12727273</v>
      </c>
      <c r="D23" s="37" t="n">
        <f aca="false">D16/$A23</f>
        <v>1845270.10909091</v>
      </c>
    </row>
    <row r="24" customFormat="false" ht="15" hidden="false" customHeight="false" outlineLevel="0" collapsed="false">
      <c r="A24" s="8" t="n">
        <v>0.06</v>
      </c>
      <c r="B24" s="37" t="n">
        <f aca="false">B16/$A24</f>
        <v>1118228.6</v>
      </c>
      <c r="C24" s="37" t="n">
        <f aca="false">C16/$A24</f>
        <v>1217523.2</v>
      </c>
      <c r="D24" s="37" t="n">
        <f aca="false">D16/$A24</f>
        <v>1691497.6</v>
      </c>
    </row>
    <row r="25" customFormat="false" ht="15" hidden="false" customHeight="false" outlineLevel="0" collapsed="false">
      <c r="A25" s="8" t="n">
        <v>0.065</v>
      </c>
      <c r="B25" s="37" t="n">
        <f aca="false">B16/$A25</f>
        <v>1032211.01538462</v>
      </c>
      <c r="C25" s="37" t="n">
        <f aca="false">C16/$A25</f>
        <v>1123867.56923077</v>
      </c>
      <c r="D25" s="37" t="n">
        <f aca="false">D16/$A25</f>
        <v>1561382.4</v>
      </c>
    </row>
    <row r="27" customFormat="false" ht="15" hidden="false" customHeight="false" outlineLevel="0" collapsed="false">
      <c r="A27" s="11" t="s">
        <v>197</v>
      </c>
    </row>
    <row r="28" customFormat="false" ht="30" hidden="false" customHeight="true" outlineLevel="0" collapsed="false">
      <c r="A28" s="12" t="s">
        <v>162</v>
      </c>
      <c r="B28" s="12" t="s">
        <v>198</v>
      </c>
      <c r="C28" s="12" t="s">
        <v>199</v>
      </c>
      <c r="D28" s="12"/>
    </row>
    <row r="29" customFormat="false" ht="15" hidden="false" customHeight="false" outlineLevel="0" collapsed="false">
      <c r="A29" s="4" t="s">
        <v>28</v>
      </c>
      <c r="B29" s="47" t="n">
        <f aca="false">Annahmen!$B$16</f>
        <v>0.055</v>
      </c>
      <c r="C29" s="37" t="n">
        <f aca="false">$B$9*B29</f>
        <v>82500</v>
      </c>
      <c r="D29" s="4"/>
    </row>
    <row r="30" customFormat="false" ht="15" hidden="false" customHeight="false" outlineLevel="0" collapsed="false">
      <c r="A30" s="4" t="s">
        <v>31</v>
      </c>
      <c r="B30" s="47" t="n">
        <f aca="false">Annahmen!$B$17</f>
        <v>0.0175</v>
      </c>
      <c r="C30" s="37" t="n">
        <f aca="false">$B$9*B30</f>
        <v>26250</v>
      </c>
      <c r="D30" s="4"/>
    </row>
    <row r="31" customFormat="false" ht="15" hidden="false" customHeight="false" outlineLevel="0" collapsed="false">
      <c r="A31" s="48" t="s">
        <v>200</v>
      </c>
      <c r="B31" s="49" t="n">
        <f aca="false">B29+B30</f>
        <v>0.0725</v>
      </c>
      <c r="C31" s="50" t="n">
        <f aca="false">$B$9+C29+C30</f>
        <v>1608750</v>
      </c>
      <c r="D31" s="48"/>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0"/>
    <col collapsed="false" customWidth="true" hidden="false" outlineLevel="0" max="6" min="2" style="0" width="16"/>
    <col collapsed="false" customWidth="true" hidden="false" outlineLevel="0" max="7" min="7" style="0" width="22"/>
  </cols>
  <sheetData>
    <row r="1" customFormat="false" ht="21.75" hidden="false" customHeight="true" outlineLevel="0" collapsed="false">
      <c r="A1" s="1" t="s">
        <v>201</v>
      </c>
    </row>
    <row r="2" customFormat="false" ht="15" hidden="false" customHeight="false" outlineLevel="0" collapsed="false">
      <c r="A2" s="2" t="s">
        <v>202</v>
      </c>
    </row>
    <row r="4" customFormat="false" ht="30" hidden="false" customHeight="true" outlineLevel="0" collapsed="false">
      <c r="A4" s="12" t="s">
        <v>203</v>
      </c>
      <c r="B4" s="12" t="s">
        <v>204</v>
      </c>
      <c r="C4" s="12" t="s">
        <v>205</v>
      </c>
      <c r="D4" s="12" t="s">
        <v>206</v>
      </c>
      <c r="E4" s="12" t="s">
        <v>207</v>
      </c>
      <c r="F4" s="12" t="s">
        <v>208</v>
      </c>
      <c r="G4" s="12" t="s">
        <v>209</v>
      </c>
    </row>
    <row r="5" customFormat="false" ht="15" hidden="false" customHeight="false" outlineLevel="0" collapsed="false">
      <c r="A5" s="19" t="s">
        <v>210</v>
      </c>
      <c r="B5" s="19"/>
      <c r="C5" s="19"/>
      <c r="D5" s="19"/>
      <c r="E5" s="19"/>
      <c r="F5" s="19"/>
      <c r="G5" s="19"/>
    </row>
    <row r="6" customFormat="false" ht="15" hidden="false" customHeight="false" outlineLevel="0" collapsed="false">
      <c r="A6" s="4" t="s">
        <v>188</v>
      </c>
      <c r="B6" s="34" t="n">
        <f aca="false">Preisfindung!C9</f>
        <v>91909.2</v>
      </c>
      <c r="C6" s="37" t="n">
        <f aca="false">$B6*10</f>
        <v>919092</v>
      </c>
      <c r="D6" s="37" t="n">
        <f aca="false">$B6*15</f>
        <v>1378638</v>
      </c>
      <c r="E6" s="37" t="n">
        <f aca="false">$B6*20</f>
        <v>1838184</v>
      </c>
      <c r="F6" s="37" t="n">
        <f aca="false">$B6</f>
        <v>91909.2</v>
      </c>
      <c r="G6" s="51" t="n">
        <f aca="false">Preisfindung!$B$9/$B6</f>
        <v>16.3204554059876</v>
      </c>
    </row>
    <row r="7" customFormat="false" ht="15" hidden="false" customHeight="false" outlineLevel="0" collapsed="false">
      <c r="A7" s="4" t="s">
        <v>189</v>
      </c>
      <c r="B7" s="34" t="n">
        <f aca="false">Preisfindung!D9</f>
        <v>100070.4</v>
      </c>
      <c r="C7" s="37" t="n">
        <f aca="false">$B7*10</f>
        <v>1000704</v>
      </c>
      <c r="D7" s="37" t="n">
        <f aca="false">$B7*15</f>
        <v>1501056</v>
      </c>
      <c r="E7" s="37" t="n">
        <f aca="false">$B7*20</f>
        <v>2001408</v>
      </c>
      <c r="F7" s="37" t="n">
        <f aca="false">$B7</f>
        <v>100070.4</v>
      </c>
      <c r="G7" s="51" t="n">
        <f aca="false">Preisfindung!$B$9/$B7</f>
        <v>14.98944742901</v>
      </c>
    </row>
    <row r="8" customFormat="false" ht="15" hidden="false" customHeight="false" outlineLevel="0" collapsed="false">
      <c r="A8" s="4" t="s">
        <v>190</v>
      </c>
      <c r="B8" s="34" t="n">
        <f aca="false">Preisfindung!E9</f>
        <v>139027.2</v>
      </c>
      <c r="C8" s="37" t="n">
        <f aca="false">$B8*10</f>
        <v>1390272</v>
      </c>
      <c r="D8" s="37" t="n">
        <f aca="false">$B8*15</f>
        <v>2085408</v>
      </c>
      <c r="E8" s="37" t="n">
        <f aca="false">$B8*20</f>
        <v>2780544</v>
      </c>
      <c r="F8" s="37" t="n">
        <f aca="false">$B8</f>
        <v>139027.2</v>
      </c>
      <c r="G8" s="51" t="n">
        <f aca="false">Preisfindung!$B$9/$B8</f>
        <v>10.7892556276757</v>
      </c>
    </row>
    <row r="9" customFormat="false" ht="15" hidden="false" customHeight="false" outlineLevel="0" collapsed="false">
      <c r="A9" s="19" t="s">
        <v>211</v>
      </c>
      <c r="B9" s="19"/>
      <c r="C9" s="19"/>
      <c r="D9" s="19"/>
      <c r="E9" s="19"/>
      <c r="F9" s="19"/>
      <c r="G9" s="19"/>
    </row>
    <row r="10" customFormat="false" ht="15" hidden="false" customHeight="false" outlineLevel="0" collapsed="false">
      <c r="A10" s="4" t="s">
        <v>188</v>
      </c>
      <c r="B10" s="34" t="n">
        <f aca="false">Preisfindung!C9</f>
        <v>91909.2</v>
      </c>
      <c r="C10" s="37" t="n">
        <f aca="false">$B10*((1+Annahmen!$B$11)^10-1)/Annahmen!$B$11</f>
        <v>983678.586360095</v>
      </c>
      <c r="D10" s="37" t="n">
        <f aca="false">$B10*((1+Annahmen!$B$11)^15-1)/Annahmen!$B$11</f>
        <v>1533241.93736997</v>
      </c>
      <c r="E10" s="37" t="n">
        <f aca="false">$B10*((1+Annahmen!$B$11)^20-1)/Annahmen!$B$11</f>
        <v>2125277.74453401</v>
      </c>
      <c r="F10" s="37" t="n">
        <f aca="false">$B10*(1+Annahmen!$B$11)^20</f>
        <v>123788.36616801</v>
      </c>
      <c r="G10" s="4"/>
    </row>
    <row r="11" customFormat="false" ht="15" hidden="false" customHeight="false" outlineLevel="0" collapsed="false">
      <c r="A11" s="4" t="s">
        <v>189</v>
      </c>
      <c r="B11" s="34" t="n">
        <f aca="false">Preisfindung!D9</f>
        <v>100070.4</v>
      </c>
      <c r="C11" s="37" t="n">
        <f aca="false">$B11*((1+Annahmen!$B$11)^10-1)/Annahmen!$B$11</f>
        <v>1071025.63843978</v>
      </c>
      <c r="D11" s="37" t="n">
        <f aca="false">$B11*((1+Annahmen!$B$11)^15-1)/Annahmen!$B$11</f>
        <v>1669388.20019528</v>
      </c>
      <c r="E11" s="37" t="n">
        <f aca="false">$B11*((1+Annahmen!$B$11)^20-1)/Annahmen!$B$11</f>
        <v>2313994.61649777</v>
      </c>
      <c r="F11" s="37" t="n">
        <f aca="false">$B11*(1+Annahmen!$B$11)^20</f>
        <v>134780.319247466</v>
      </c>
      <c r="G11" s="4"/>
    </row>
    <row r="12" customFormat="false" ht="15" hidden="false" customHeight="false" outlineLevel="0" collapsed="false">
      <c r="A12" s="4" t="s">
        <v>190</v>
      </c>
      <c r="B12" s="34" t="n">
        <f aca="false">Preisfindung!E9</f>
        <v>139027.2</v>
      </c>
      <c r="C12" s="37" t="n">
        <f aca="false">$B12*((1+Annahmen!$B$11)^10-1)/Annahmen!$B$11</f>
        <v>1487969.42592909</v>
      </c>
      <c r="D12" s="37" t="n">
        <f aca="false">$B12*((1+Annahmen!$B$11)^15-1)/Annahmen!$B$11</f>
        <v>2319270.90514468</v>
      </c>
      <c r="E12" s="37" t="n">
        <f aca="false">$B12*((1+Annahmen!$B$11)^20-1)/Annahmen!$B$11</f>
        <v>3214818.69110904</v>
      </c>
      <c r="F12" s="37" t="n">
        <f aca="false">$B12*(1+Annahmen!$B$11)^20</f>
        <v>187249.480366636</v>
      </c>
      <c r="G12" s="4"/>
    </row>
    <row r="14" customFormat="false" ht="15" hidden="false" customHeight="false" outlineLevel="0" collapsed="false">
      <c r="A14" s="52" t="s">
        <v>212</v>
      </c>
      <c r="B14" s="52"/>
      <c r="C14" s="52"/>
      <c r="D14" s="52"/>
      <c r="E14" s="52"/>
      <c r="F14" s="52"/>
      <c r="G14" s="52"/>
    </row>
  </sheetData>
  <mergeCells count="1">
    <mergeCell ref="A14:G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6"/>
    <col collapsed="false" customWidth="true" hidden="false" outlineLevel="0" max="11" min="2" style="0" width="15"/>
  </cols>
  <sheetData>
    <row r="1" customFormat="false" ht="21.75" hidden="false" customHeight="true" outlineLevel="0" collapsed="false">
      <c r="A1" s="1" t="s">
        <v>213</v>
      </c>
    </row>
    <row r="2" customFormat="false" ht="15" hidden="false" customHeight="false" outlineLevel="0" collapsed="false">
      <c r="A2" s="2" t="s">
        <v>214</v>
      </c>
    </row>
    <row r="4" customFormat="false" ht="15" hidden="false" customHeight="false" outlineLevel="0" collapsed="false">
      <c r="A4" s="11" t="s">
        <v>215</v>
      </c>
    </row>
    <row r="5" customFormat="false" ht="30" hidden="false" customHeight="true" outlineLevel="0" collapsed="false">
      <c r="A5" s="12" t="s">
        <v>216</v>
      </c>
      <c r="B5" s="12" t="s">
        <v>217</v>
      </c>
      <c r="C5" s="12" t="s">
        <v>218</v>
      </c>
      <c r="D5" s="12" t="s">
        <v>219</v>
      </c>
      <c r="E5" s="12" t="s">
        <v>220</v>
      </c>
      <c r="F5" s="12" t="s">
        <v>221</v>
      </c>
      <c r="G5" s="12" t="s">
        <v>222</v>
      </c>
      <c r="H5" s="12" t="s">
        <v>223</v>
      </c>
      <c r="I5" s="12"/>
      <c r="J5" s="12"/>
      <c r="K5" s="12"/>
    </row>
    <row r="6" customFormat="false" ht="15" hidden="false" customHeight="false" outlineLevel="0" collapsed="false">
      <c r="A6" s="4" t="s">
        <v>224</v>
      </c>
      <c r="B6" s="47" t="n">
        <f aca="false">Annahmen!$B$20</f>
        <v>0.03</v>
      </c>
      <c r="C6" s="37" t="n">
        <f aca="false">Preisfindung!C9*F6</f>
        <v>784004.118565798</v>
      </c>
      <c r="D6" s="37" t="n">
        <f aca="false">Preisfindung!C9*G6</f>
        <v>1097206.06347752</v>
      </c>
      <c r="E6" s="37" t="n">
        <f aca="false">Preisfindung!C9*H6</f>
        <v>1367376.81244458</v>
      </c>
      <c r="F6" s="53" t="n">
        <f aca="false">(1-(1+$B6)^-10)/$B6</f>
        <v>8.53020283677584</v>
      </c>
      <c r="G6" s="53" t="n">
        <f aca="false">(1-(1+$B6)^-15)/$B6</f>
        <v>11.9379350867761</v>
      </c>
      <c r="H6" s="53" t="n">
        <f aca="false">(1-(1+$B6)^-20)/$B6</f>
        <v>14.8774748604555</v>
      </c>
      <c r="I6" s="4"/>
      <c r="J6" s="4"/>
      <c r="K6" s="4"/>
    </row>
    <row r="7" customFormat="false" ht="15" hidden="false" customHeight="false" outlineLevel="0" collapsed="false">
      <c r="A7" s="54"/>
      <c r="B7" s="55" t="n">
        <f aca="false">Annahmen!$B$21</f>
        <v>0.04</v>
      </c>
      <c r="C7" s="56" t="n">
        <f aca="false">Preisfindung!C9*F7</f>
        <v>745465.942363898</v>
      </c>
      <c r="D7" s="56" t="n">
        <f aca="false">Preisfindung!C9*G7</f>
        <v>1021882.09418063</v>
      </c>
      <c r="E7" s="56" t="n">
        <f aca="false">Preisfindung!C9*H7</f>
        <v>1249076.02210491</v>
      </c>
      <c r="F7" s="57" t="n">
        <f aca="false">(1-(1+$B7)^-10)/$B7</f>
        <v>8.11089577935504</v>
      </c>
      <c r="G7" s="57" t="n">
        <f aca="false">(1-(1+$B7)^-15)/$B7</f>
        <v>11.1183874321681</v>
      </c>
      <c r="H7" s="57" t="n">
        <f aca="false">(1-(1+$B7)^-20)/$B7</f>
        <v>13.5903263449677</v>
      </c>
      <c r="I7" s="4"/>
      <c r="J7" s="4"/>
      <c r="K7" s="4"/>
    </row>
    <row r="8" customFormat="false" ht="15" hidden="false" customHeight="false" outlineLevel="0" collapsed="false">
      <c r="A8" s="4"/>
      <c r="B8" s="47" t="n">
        <f aca="false">Annahmen!$B$22</f>
        <v>0.05</v>
      </c>
      <c r="C8" s="37" t="n">
        <f aca="false">Preisfindung!C9*F8</f>
        <v>709698.479953433</v>
      </c>
      <c r="D8" s="37" t="n">
        <f aca="false">Preisfindung!C9*G8</f>
        <v>953986.066562748</v>
      </c>
      <c r="E8" s="37" t="n">
        <f aca="false">Preisfindung!C9*H8</f>
        <v>1145391.78281458</v>
      </c>
      <c r="F8" s="53" t="n">
        <f aca="false">(1-(1+$B8)^-10)/$B8</f>
        <v>7.72173492918482</v>
      </c>
      <c r="G8" s="53" t="n">
        <f aca="false">(1-(1+$B8)^-15)/$B8</f>
        <v>10.3796580381806</v>
      </c>
      <c r="H8" s="53" t="n">
        <f aca="false">(1-(1+$B8)^-20)/$B8</f>
        <v>12.46221034254</v>
      </c>
      <c r="I8" s="4"/>
      <c r="J8" s="4"/>
      <c r="K8" s="4"/>
    </row>
    <row r="9" customFormat="false" ht="15" hidden="false" customHeight="false" outlineLevel="0" collapsed="false">
      <c r="A9" s="4" t="s">
        <v>225</v>
      </c>
      <c r="B9" s="47" t="n">
        <f aca="false">Annahmen!$B$20</f>
        <v>0.03</v>
      </c>
      <c r="C9" s="37" t="n">
        <f aca="false">Preisfindung!D9*F9</f>
        <v>853620.809957293</v>
      </c>
      <c r="D9" s="37" t="n">
        <f aca="false">Preisfindung!D9*G9</f>
        <v>1194633.93930772</v>
      </c>
      <c r="E9" s="37" t="n">
        <f aca="false">Preisfindung!D9*H9</f>
        <v>1488794.86027573</v>
      </c>
      <c r="F9" s="53" t="n">
        <f aca="false">(1-(1+$B9)^-10)/$B9</f>
        <v>8.53020283677584</v>
      </c>
      <c r="G9" s="53" t="n">
        <f aca="false">(1-(1+$B9)^-15)/$B9</f>
        <v>11.9379350867761</v>
      </c>
      <c r="H9" s="53" t="n">
        <f aca="false">(1-(1+$B9)^-20)/$B9</f>
        <v>14.8774748604555</v>
      </c>
      <c r="I9" s="4"/>
      <c r="J9" s="4"/>
      <c r="K9" s="4"/>
    </row>
    <row r="10" customFormat="false" ht="15" hidden="false" customHeight="false" outlineLevel="0" collapsed="false">
      <c r="A10" s="4"/>
      <c r="B10" s="47" t="n">
        <f aca="false">Annahmen!$B$21</f>
        <v>0.04</v>
      </c>
      <c r="C10" s="37" t="n">
        <f aca="false">Preisfindung!D9*F10</f>
        <v>811660.58499837</v>
      </c>
      <c r="D10" s="37" t="n">
        <f aca="false">Preisfindung!D9*G10</f>
        <v>1112621.47769204</v>
      </c>
      <c r="E10" s="37" t="n">
        <f aca="false">Preisfindung!D9*H10</f>
        <v>1359989.39347146</v>
      </c>
      <c r="F10" s="53" t="n">
        <f aca="false">(1-(1+$B10)^-10)/$B10</f>
        <v>8.11089577935504</v>
      </c>
      <c r="G10" s="53" t="n">
        <f aca="false">(1-(1+$B10)^-15)/$B10</f>
        <v>11.1183874321681</v>
      </c>
      <c r="H10" s="53" t="n">
        <f aca="false">(1-(1+$B10)^-20)/$B10</f>
        <v>13.5903263449677</v>
      </c>
      <c r="I10" s="4"/>
      <c r="J10" s="4"/>
      <c r="K10" s="4"/>
    </row>
    <row r="11" customFormat="false" ht="15" hidden="false" customHeight="false" outlineLevel="0" collapsed="false">
      <c r="A11" s="4"/>
      <c r="B11" s="47" t="n">
        <f aca="false">Annahmen!$B$22</f>
        <v>0.05</v>
      </c>
      <c r="C11" s="37" t="n">
        <f aca="false">Preisfindung!D9*F11</f>
        <v>772717.103057496</v>
      </c>
      <c r="D11" s="37" t="n">
        <f aca="false">Preisfindung!D9*G11</f>
        <v>1038696.53174395</v>
      </c>
      <c r="E11" s="37" t="n">
        <f aca="false">Preisfindung!D9*H11</f>
        <v>1247098.37386211</v>
      </c>
      <c r="F11" s="53" t="n">
        <f aca="false">(1-(1+$B11)^-10)/$B11</f>
        <v>7.72173492918482</v>
      </c>
      <c r="G11" s="53" t="n">
        <f aca="false">(1-(1+$B11)^-15)/$B11</f>
        <v>10.3796580381806</v>
      </c>
      <c r="H11" s="53" t="n">
        <f aca="false">(1-(1+$B11)^-20)/$B11</f>
        <v>12.46221034254</v>
      </c>
      <c r="I11" s="4"/>
      <c r="J11" s="4"/>
      <c r="K11" s="4"/>
    </row>
    <row r="12" customFormat="false" ht="15" hidden="false" customHeight="false" outlineLevel="0" collapsed="false">
      <c r="A12" s="4" t="s">
        <v>226</v>
      </c>
      <c r="B12" s="47" t="n">
        <f aca="false">Annahmen!$B$20</f>
        <v>0.03</v>
      </c>
      <c r="C12" s="37" t="n">
        <f aca="false">Preisfindung!B16*F12</f>
        <v>572323.006553032</v>
      </c>
      <c r="D12" s="37" t="n">
        <f aca="false">Preisfindung!B16*G12</f>
        <v>800960.42633859</v>
      </c>
      <c r="E12" s="37" t="n">
        <f aca="false">Preisfindung!B16*H12</f>
        <v>998185.073084542</v>
      </c>
      <c r="F12" s="53" t="n">
        <f aca="false">(1-(1+$B12)^-10)/$B12</f>
        <v>8.53020283677584</v>
      </c>
      <c r="G12" s="53" t="n">
        <f aca="false">(1-(1+$B12)^-15)/$B12</f>
        <v>11.9379350867761</v>
      </c>
      <c r="H12" s="53" t="n">
        <f aca="false">(1-(1+$B12)^-20)/$B12</f>
        <v>14.8774748604555</v>
      </c>
      <c r="I12" s="4"/>
      <c r="J12" s="4"/>
      <c r="K12" s="4"/>
    </row>
    <row r="13" customFormat="false" ht="15" hidden="false" customHeight="false" outlineLevel="0" collapsed="false">
      <c r="A13" s="4"/>
      <c r="B13" s="47" t="n">
        <f aca="false">Annahmen!$B$21</f>
        <v>0.04</v>
      </c>
      <c r="C13" s="37" t="n">
        <f aca="false">Preisfindung!B16*F13</f>
        <v>544190.137925645</v>
      </c>
      <c r="D13" s="37" t="n">
        <f aca="false">Preisfindung!B16*G13</f>
        <v>745973.928751858</v>
      </c>
      <c r="E13" s="37" t="n">
        <f aca="false">Preisfindung!B16*H13</f>
        <v>911825.496136581</v>
      </c>
      <c r="F13" s="53" t="n">
        <f aca="false">(1-(1+$B13)^-10)/$B13</f>
        <v>8.11089577935504</v>
      </c>
      <c r="G13" s="53" t="n">
        <f aca="false">(1-(1+$B13)^-15)/$B13</f>
        <v>11.1183874321681</v>
      </c>
      <c r="H13" s="53" t="n">
        <f aca="false">(1-(1+$B13)^-20)/$B13</f>
        <v>13.5903263449677</v>
      </c>
      <c r="I13" s="4"/>
      <c r="J13" s="4"/>
      <c r="K13" s="4"/>
    </row>
    <row r="14" customFormat="false" ht="15" hidden="false" customHeight="false" outlineLevel="0" collapsed="false">
      <c r="A14" s="4"/>
      <c r="B14" s="47" t="n">
        <f aca="false">Annahmen!$B$22</f>
        <v>0.05</v>
      </c>
      <c r="C14" s="37" t="n">
        <f aca="false">Preisfindung!B16*F14</f>
        <v>518079.890366006</v>
      </c>
      <c r="D14" s="37" t="n">
        <f aca="false">Preisfindung!B16*G14</f>
        <v>696409.828590806</v>
      </c>
      <c r="E14" s="37" t="n">
        <f aca="false">Preisfindung!B16*H14</f>
        <v>836136.001454641</v>
      </c>
      <c r="F14" s="53" t="n">
        <f aca="false">(1-(1+$B14)^-10)/$B14</f>
        <v>7.72173492918482</v>
      </c>
      <c r="G14" s="53" t="n">
        <f aca="false">(1-(1+$B14)^-15)/$B14</f>
        <v>10.3796580381806</v>
      </c>
      <c r="H14" s="53" t="n">
        <f aca="false">(1-(1+$B14)^-20)/$B14</f>
        <v>12.46221034254</v>
      </c>
      <c r="I14" s="4"/>
      <c r="J14" s="4"/>
      <c r="K14" s="4"/>
    </row>
    <row r="15" customFormat="false" ht="15" hidden="false" customHeight="false" outlineLevel="0" collapsed="false">
      <c r="A15" s="4" t="s">
        <v>227</v>
      </c>
      <c r="B15" s="47" t="n">
        <f aca="false">Annahmen!$B$20</f>
        <v>0.03</v>
      </c>
      <c r="C15" s="37" t="n">
        <f aca="false">Preisfindung!C16*F15</f>
        <v>623143.191268824</v>
      </c>
      <c r="D15" s="37" t="n">
        <f aca="false">Preisfindung!C16*G15</f>
        <v>872082.775694634</v>
      </c>
      <c r="E15" s="37" t="n">
        <f aca="false">Preisfindung!C16*H15</f>
        <v>1086820.24800128</v>
      </c>
      <c r="F15" s="53" t="n">
        <f aca="false">(1-(1+$B15)^-10)/$B15</f>
        <v>8.53020283677584</v>
      </c>
      <c r="G15" s="53" t="n">
        <f aca="false">(1-(1+$B15)^-15)/$B15</f>
        <v>11.9379350867761</v>
      </c>
      <c r="H15" s="53" t="n">
        <f aca="false">(1-(1+$B15)^-20)/$B15</f>
        <v>14.8774748604555</v>
      </c>
      <c r="I15" s="4"/>
      <c r="J15" s="4"/>
      <c r="K15" s="4"/>
    </row>
    <row r="16" customFormat="false" ht="15" hidden="false" customHeight="false" outlineLevel="0" collapsed="false">
      <c r="A16" s="4"/>
      <c r="B16" s="47" t="n">
        <f aca="false">Annahmen!$B$21</f>
        <v>0.04</v>
      </c>
      <c r="C16" s="37" t="n">
        <f aca="false">Preisfindung!C16*F16</f>
        <v>592512.22704881</v>
      </c>
      <c r="D16" s="37" t="n">
        <f aca="false">Preisfindung!C16*G16</f>
        <v>812213.678715187</v>
      </c>
      <c r="E16" s="37" t="n">
        <f aca="false">Preisfindung!C16*H16</f>
        <v>992792.257234162</v>
      </c>
      <c r="F16" s="53" t="n">
        <f aca="false">(1-(1+$B16)^-10)/$B16</f>
        <v>8.11089577935504</v>
      </c>
      <c r="G16" s="53" t="n">
        <f aca="false">(1-(1+$B16)^-15)/$B16</f>
        <v>11.1183874321681</v>
      </c>
      <c r="H16" s="53" t="n">
        <f aca="false">(1-(1+$B16)^-20)/$B16</f>
        <v>13.5903263449677</v>
      </c>
      <c r="I16" s="4"/>
      <c r="J16" s="4"/>
      <c r="K16" s="4"/>
    </row>
    <row r="17" customFormat="false" ht="15" hidden="false" customHeight="false" outlineLevel="0" collapsed="false">
      <c r="A17" s="4"/>
      <c r="B17" s="47" t="n">
        <f aca="false">Annahmen!$B$22</f>
        <v>0.05</v>
      </c>
      <c r="C17" s="37" t="n">
        <f aca="false">Preisfindung!C16*F17</f>
        <v>564083.485231972</v>
      </c>
      <c r="D17" s="37" t="n">
        <f aca="false">Preisfindung!C16*G17</f>
        <v>758248.468173082</v>
      </c>
      <c r="E17" s="37" t="n">
        <f aca="false">Preisfindung!C16*H17</f>
        <v>910381.812919343</v>
      </c>
      <c r="F17" s="53" t="n">
        <f aca="false">(1-(1+$B17)^-10)/$B17</f>
        <v>7.72173492918482</v>
      </c>
      <c r="G17" s="53" t="n">
        <f aca="false">(1-(1+$B17)^-15)/$B17</f>
        <v>10.3796580381806</v>
      </c>
      <c r="H17" s="53" t="n">
        <f aca="false">(1-(1+$B17)^-20)/$B17</f>
        <v>12.46221034254</v>
      </c>
      <c r="I17" s="4"/>
      <c r="J17" s="4"/>
      <c r="K17" s="4"/>
    </row>
    <row r="19" customFormat="false" ht="15" hidden="false" customHeight="false" outlineLevel="0" collapsed="false">
      <c r="A19" s="11" t="s">
        <v>228</v>
      </c>
    </row>
    <row r="20" customFormat="false" ht="15" hidden="false" customHeight="false" outlineLevel="0" collapsed="false">
      <c r="A20" s="4" t="s">
        <v>229</v>
      </c>
      <c r="B20" s="33" t="n">
        <f aca="false">Preisfindung!$B$9</f>
        <v>1500000</v>
      </c>
    </row>
    <row r="21" customFormat="false" ht="15" hidden="false" customHeight="false" outlineLevel="0" collapsed="false">
      <c r="A21" s="4" t="s">
        <v>230</v>
      </c>
      <c r="B21" s="33" t="n">
        <f aca="false">Preisfindung!$C$31</f>
        <v>1608750</v>
      </c>
    </row>
    <row r="22" customFormat="false" ht="15" hidden="false" customHeight="false" outlineLevel="0" collapsed="false">
      <c r="A22" s="4" t="s">
        <v>231</v>
      </c>
      <c r="B22" s="37" t="n">
        <f aca="false">$B$20*Annahmen!$B$18</f>
        <v>1200000</v>
      </c>
    </row>
    <row r="23" customFormat="false" ht="15" hidden="false" customHeight="false" outlineLevel="0" collapsed="false">
      <c r="A23" s="4" t="s">
        <v>232</v>
      </c>
      <c r="B23" s="37" t="n">
        <f aca="false">$B$21-$B$22</f>
        <v>408750</v>
      </c>
    </row>
    <row r="24" customFormat="false" ht="15" hidden="false" customHeight="false" outlineLevel="0" collapsed="false">
      <c r="A24" s="4" t="s">
        <v>233</v>
      </c>
      <c r="B24" s="34" t="n">
        <f aca="false">Preisfindung!C16</f>
        <v>73051.392</v>
      </c>
    </row>
    <row r="25" customFormat="false" ht="15" hidden="false" customHeight="false" outlineLevel="0" collapsed="false">
      <c r="A25" s="4" t="s">
        <v>234</v>
      </c>
      <c r="B25" s="34" t="n">
        <f aca="false">Preisfindung!B16</f>
        <v>67093.716</v>
      </c>
    </row>
    <row r="27" customFormat="false" ht="30" hidden="false" customHeight="true" outlineLevel="0" collapsed="false">
      <c r="A27" s="12" t="s">
        <v>217</v>
      </c>
      <c r="B27" s="12" t="s">
        <v>235</v>
      </c>
      <c r="C27" s="12" t="s">
        <v>236</v>
      </c>
      <c r="D27" s="12" t="s">
        <v>237</v>
      </c>
      <c r="E27" s="12" t="s">
        <v>238</v>
      </c>
      <c r="F27" s="12" t="s">
        <v>239</v>
      </c>
      <c r="G27" s="12" t="s">
        <v>240</v>
      </c>
      <c r="H27" s="12" t="s">
        <v>241</v>
      </c>
      <c r="I27" s="12" t="s">
        <v>242</v>
      </c>
      <c r="J27" s="12" t="s">
        <v>243</v>
      </c>
      <c r="K27" s="12" t="s">
        <v>244</v>
      </c>
    </row>
    <row r="28" customFormat="false" ht="15" hidden="false" customHeight="false" outlineLevel="0" collapsed="false">
      <c r="A28" s="47" t="n">
        <f aca="false">Annahmen!$B$20</f>
        <v>0.03</v>
      </c>
      <c r="B28" s="37" t="n">
        <f aca="false">$B$22*($A28+Annahmen!$B$19)</f>
        <v>60000</v>
      </c>
      <c r="C28" s="17" t="n">
        <f aca="false">B28/12</f>
        <v>5000</v>
      </c>
      <c r="D28" s="37" t="n">
        <f aca="false">$B$22*(1+$A28)^10-$B28*((1+$A28)^10-1)/$A28</f>
        <v>924866.896524702</v>
      </c>
      <c r="E28" s="37" t="n">
        <f aca="false">$B$22*(1+$A28)^15-$B28*((1+$A28)^15-1)/$A28</f>
        <v>753626.066719388</v>
      </c>
      <c r="F28" s="37" t="n">
        <f aca="false">$B$22*(1+$A28)^20-$B28*((1+$A28)^20-1)/$A28</f>
        <v>555111.012264468</v>
      </c>
      <c r="G28" s="37" t="n">
        <f aca="false">$B28*20-($B$22-F28)</f>
        <v>555111.012264468</v>
      </c>
      <c r="H28" s="37" t="n">
        <f aca="false">$B$25-B28</f>
        <v>7093.716</v>
      </c>
      <c r="I28" s="37" t="n">
        <f aca="false">$B$24-B28</f>
        <v>13051.392</v>
      </c>
      <c r="J28" s="58" t="n">
        <f aca="false">$B$24/B28</f>
        <v>1.2175232</v>
      </c>
      <c r="K28" s="36" t="n">
        <f aca="false">($B$24-$B$22*$A28)/$B$23</f>
        <v>0.0906456073394495</v>
      </c>
    </row>
    <row r="29" customFormat="false" ht="15" hidden="false" customHeight="false" outlineLevel="0" collapsed="false">
      <c r="A29" s="47" t="n">
        <f aca="false">Annahmen!$B$21</f>
        <v>0.04</v>
      </c>
      <c r="B29" s="37" t="n">
        <f aca="false">$B$22*($A29+Annahmen!$B$19)</f>
        <v>72000</v>
      </c>
      <c r="C29" s="17" t="n">
        <f aca="false">B29/12</f>
        <v>6000</v>
      </c>
      <c r="D29" s="37" t="n">
        <f aca="false">$B$22*(1+$A29)^10-$B29*((1+$A29)^10-1)/$A29</f>
        <v>911853.429048994</v>
      </c>
      <c r="E29" s="37" t="n">
        <f aca="false">$B$22*(1+$A29)^15-$B29*((1+$A29)^15-1)/$A29</f>
        <v>719433.89669585</v>
      </c>
      <c r="F29" s="37" t="n">
        <f aca="false">$B$22*(1+$A29)^20-$B29*((1+$A29)^20-1)/$A29</f>
        <v>485326.114179948</v>
      </c>
      <c r="G29" s="37" t="n">
        <f aca="false">$B29*20-($B$22-F29)</f>
        <v>725326.114179948</v>
      </c>
      <c r="H29" s="37" t="n">
        <f aca="false">$B$25-B29</f>
        <v>-4906.284</v>
      </c>
      <c r="I29" s="37" t="n">
        <f aca="false">$B$24-B29</f>
        <v>1051.39199999999</v>
      </c>
      <c r="J29" s="58" t="n">
        <f aca="false">$B$24/B29</f>
        <v>1.01460266666667</v>
      </c>
      <c r="K29" s="36" t="n">
        <f aca="false">($B$24-$B$22*$A29)/$B$23</f>
        <v>0.0612878091743119</v>
      </c>
    </row>
    <row r="30" customFormat="false" ht="15" hidden="false" customHeight="false" outlineLevel="0" collapsed="false">
      <c r="A30" s="47" t="n">
        <f aca="false">Annahmen!$B$22</f>
        <v>0.05</v>
      </c>
      <c r="B30" s="37" t="n">
        <f aca="false">$B$22*($A30+Annahmen!$B$19)</f>
        <v>84000</v>
      </c>
      <c r="C30" s="17" t="n">
        <f aca="false">B30/12</f>
        <v>7000</v>
      </c>
      <c r="D30" s="37" t="n">
        <f aca="false">$B$22*(1+$A30)^10-$B30*((1+$A30)^10-1)/$A30</f>
        <v>898130.579146828</v>
      </c>
      <c r="E30" s="37" t="n">
        <f aca="false">$B$22*(1+$A30)^15-$B30*((1+$A30)^15-1)/$A30</f>
        <v>682114.473882543</v>
      </c>
      <c r="F30" s="37" t="n">
        <f aca="false">$B$22*(1+$A30)^20-$B30*((1+$A30)^20-1)/$A30</f>
        <v>406417.101530677</v>
      </c>
      <c r="G30" s="37" t="n">
        <f aca="false">$B30*20-($B$22-F30)</f>
        <v>886417.101530677</v>
      </c>
      <c r="H30" s="37" t="n">
        <f aca="false">$B$25-B30</f>
        <v>-16906.284</v>
      </c>
      <c r="I30" s="37" t="n">
        <f aca="false">$B$24-B30</f>
        <v>-10948.608</v>
      </c>
      <c r="J30" s="58" t="n">
        <f aca="false">$B$24/B30</f>
        <v>0.869659428571428</v>
      </c>
      <c r="K30" s="36" t="n">
        <f aca="false">($B$24-$B$22*$A30)/$B$23</f>
        <v>0.0319300110091743</v>
      </c>
    </row>
    <row r="32" customFormat="false" ht="30" hidden="false" customHeight="true" outlineLevel="0" collapsed="false">
      <c r="A32" s="28" t="s">
        <v>245</v>
      </c>
      <c r="B32" s="28"/>
      <c r="C32" s="28"/>
      <c r="D32" s="28"/>
      <c r="E32" s="28"/>
      <c r="F32" s="28"/>
      <c r="G32" s="28"/>
      <c r="H32" s="28"/>
      <c r="I32" s="28"/>
      <c r="J32" s="28"/>
      <c r="K32" s="28"/>
    </row>
  </sheetData>
  <mergeCells count="1">
    <mergeCell ref="A32:K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48"/>
    <col collapsed="false" customWidth="true" hidden="false" outlineLevel="0" max="8" min="2" style="0" width="16"/>
    <col collapsed="false" customWidth="true" hidden="false" outlineLevel="0" max="9" min="9" style="0" width="52"/>
  </cols>
  <sheetData>
    <row r="1" customFormat="false" ht="21.75" hidden="false" customHeight="true" outlineLevel="0" collapsed="false">
      <c r="A1" s="1" t="s">
        <v>246</v>
      </c>
    </row>
    <row r="2" customFormat="false" ht="15" hidden="false" customHeight="false" outlineLevel="0" collapsed="false">
      <c r="A2" s="2" t="s">
        <v>247</v>
      </c>
    </row>
    <row r="4" customFormat="false" ht="15" hidden="false" customHeight="false" outlineLevel="0" collapsed="false">
      <c r="A4" s="11" t="s">
        <v>248</v>
      </c>
    </row>
    <row r="5" customFormat="false" ht="30" hidden="false" customHeight="true" outlineLevel="0" collapsed="false">
      <c r="A5" s="12" t="s">
        <v>162</v>
      </c>
      <c r="B5" s="12" t="s">
        <v>199</v>
      </c>
      <c r="C5" s="12"/>
      <c r="D5" s="12"/>
      <c r="E5" s="12"/>
      <c r="F5" s="12"/>
      <c r="G5" s="12"/>
      <c r="H5" s="12"/>
      <c r="I5" s="12" t="s">
        <v>249</v>
      </c>
    </row>
    <row r="6" customFormat="false" ht="15" hidden="false" customHeight="false" outlineLevel="0" collapsed="false">
      <c r="A6" s="4" t="s">
        <v>250</v>
      </c>
      <c r="B6" s="33" t="n">
        <f aca="false">Annahmen!$B$5</f>
        <v>610000</v>
      </c>
      <c r="C6" s="4"/>
      <c r="D6" s="4"/>
      <c r="E6" s="4"/>
      <c r="F6" s="4"/>
      <c r="G6" s="4"/>
      <c r="H6" s="4"/>
      <c r="I6" s="7" t="s">
        <v>251</v>
      </c>
    </row>
    <row r="7" customFormat="false" ht="15" hidden="false" customHeight="false" outlineLevel="0" collapsed="false">
      <c r="A7" s="4" t="s">
        <v>252</v>
      </c>
      <c r="B7" s="33" t="n">
        <f aca="false">Annahmen!$B$6</f>
        <v>340000</v>
      </c>
      <c r="C7" s="4"/>
      <c r="D7" s="4"/>
      <c r="E7" s="4"/>
      <c r="F7" s="4"/>
      <c r="G7" s="4"/>
      <c r="H7" s="4"/>
      <c r="I7" s="7" t="s">
        <v>251</v>
      </c>
    </row>
    <row r="8" customFormat="false" ht="15" hidden="false" customHeight="false" outlineLevel="0" collapsed="false">
      <c r="A8" s="19" t="s">
        <v>253</v>
      </c>
      <c r="B8" s="38" t="n">
        <f aca="false">B6+B7</f>
        <v>950000</v>
      </c>
      <c r="C8" s="59"/>
      <c r="D8" s="59"/>
      <c r="E8" s="59"/>
      <c r="F8" s="59"/>
      <c r="G8" s="59"/>
      <c r="H8" s="59"/>
      <c r="I8" s="60"/>
    </row>
    <row r="9" customFormat="false" ht="15" hidden="false" customHeight="false" outlineLevel="0" collapsed="false">
      <c r="A9" s="4" t="s">
        <v>254</v>
      </c>
      <c r="B9" s="17" t="n">
        <f aca="false">B8*(Preisfindung!$B$31)</f>
        <v>68875</v>
      </c>
      <c r="C9" s="4"/>
      <c r="D9" s="4"/>
      <c r="E9" s="4"/>
      <c r="F9" s="4"/>
      <c r="G9" s="4"/>
      <c r="H9" s="4"/>
      <c r="I9" s="7" t="s">
        <v>255</v>
      </c>
    </row>
    <row r="10" customFormat="false" ht="15" hidden="false" customHeight="false" outlineLevel="0" collapsed="false">
      <c r="A10" s="19" t="s">
        <v>200</v>
      </c>
      <c r="B10" s="21" t="n">
        <f aca="false">B8+B9</f>
        <v>1018875</v>
      </c>
      <c r="C10" s="59"/>
      <c r="D10" s="59"/>
      <c r="E10" s="59"/>
      <c r="F10" s="59"/>
      <c r="G10" s="59"/>
      <c r="H10" s="59"/>
      <c r="I10" s="60"/>
    </row>
    <row r="11" customFormat="false" ht="19.4" hidden="false" customHeight="false" outlineLevel="0" collapsed="false">
      <c r="A11" s="4" t="s">
        <v>256</v>
      </c>
      <c r="B11" s="61" t="n">
        <f aca="false">-Annahmen!$B$24*Annahmen!$B$25</f>
        <v>-57120</v>
      </c>
      <c r="C11" s="4"/>
      <c r="D11" s="4"/>
      <c r="E11" s="4"/>
      <c r="F11" s="4"/>
      <c r="G11" s="4"/>
      <c r="H11" s="4"/>
      <c r="I11" s="7" t="s">
        <v>257</v>
      </c>
    </row>
    <row r="12" customFormat="false" ht="15" hidden="false" customHeight="false" outlineLevel="0" collapsed="false">
      <c r="A12" s="48" t="s">
        <v>258</v>
      </c>
      <c r="B12" s="62" t="n">
        <f aca="false">B10+B11</f>
        <v>961755</v>
      </c>
      <c r="C12" s="54"/>
      <c r="D12" s="54"/>
      <c r="E12" s="54"/>
      <c r="F12" s="54"/>
      <c r="G12" s="54"/>
      <c r="H12" s="54"/>
      <c r="I12" s="63"/>
    </row>
    <row r="13" customFormat="false" ht="19.4" hidden="false" customHeight="false" outlineLevel="0" collapsed="false">
      <c r="A13" s="4" t="s">
        <v>259</v>
      </c>
      <c r="B13" s="31" t="n">
        <f aca="false">B12/B10</f>
        <v>0.943938167096062</v>
      </c>
      <c r="C13" s="4"/>
      <c r="D13" s="4"/>
      <c r="E13" s="4"/>
      <c r="F13" s="4"/>
      <c r="G13" s="4"/>
      <c r="H13" s="4"/>
      <c r="I13" s="7" t="s">
        <v>260</v>
      </c>
    </row>
    <row r="14" customFormat="false" ht="15" hidden="false" customHeight="false" outlineLevel="0" collapsed="false">
      <c r="A14" s="4" t="s">
        <v>261</v>
      </c>
      <c r="B14" s="17" t="n">
        <f aca="false">B12*Annahmen!$B$29</f>
        <v>24043.875</v>
      </c>
      <c r="C14" s="4"/>
      <c r="D14" s="4"/>
      <c r="E14" s="4"/>
      <c r="F14" s="4"/>
      <c r="G14" s="4"/>
      <c r="H14" s="4"/>
      <c r="I14" s="7" t="s">
        <v>262</v>
      </c>
    </row>
    <row r="15" customFormat="false" ht="19.4" hidden="false" customHeight="false" outlineLevel="0" collapsed="false">
      <c r="A15" s="4" t="s">
        <v>263</v>
      </c>
      <c r="B15" s="17" t="n">
        <f aca="false">B12/25</f>
        <v>38470.2</v>
      </c>
      <c r="C15" s="4"/>
      <c r="D15" s="4"/>
      <c r="E15" s="4"/>
      <c r="F15" s="4"/>
      <c r="G15" s="4"/>
      <c r="H15" s="4"/>
      <c r="I15" s="7" t="s">
        <v>264</v>
      </c>
    </row>
    <row r="17" customFormat="false" ht="15" hidden="false" customHeight="false" outlineLevel="0" collapsed="false">
      <c r="A17" s="11" t="s">
        <v>265</v>
      </c>
    </row>
    <row r="18" customFormat="false" ht="30" hidden="false" customHeight="true" outlineLevel="0" collapsed="false">
      <c r="A18" s="12" t="s">
        <v>162</v>
      </c>
      <c r="B18" s="12" t="s">
        <v>3</v>
      </c>
      <c r="C18" s="12"/>
      <c r="D18" s="12"/>
      <c r="E18" s="12"/>
      <c r="F18" s="12"/>
      <c r="G18" s="12"/>
      <c r="H18" s="12"/>
      <c r="I18" s="12" t="s">
        <v>266</v>
      </c>
    </row>
    <row r="19" customFormat="false" ht="19.4" hidden="false" customHeight="false" outlineLevel="0" collapsed="false">
      <c r="A19" s="4" t="s">
        <v>267</v>
      </c>
      <c r="B19" s="33" t="n">
        <f aca="false">Annahmen!$B$26</f>
        <v>400000</v>
      </c>
      <c r="C19" s="4"/>
      <c r="D19" s="4"/>
      <c r="E19" s="4"/>
      <c r="F19" s="4"/>
      <c r="G19" s="4"/>
      <c r="H19" s="4"/>
      <c r="I19" s="7" t="s">
        <v>268</v>
      </c>
    </row>
    <row r="20" customFormat="false" ht="15" hidden="false" customHeight="false" outlineLevel="0" collapsed="false">
      <c r="A20" s="4" t="s">
        <v>269</v>
      </c>
      <c r="B20" s="17" t="n">
        <f aca="false">B19*0.09</f>
        <v>36000</v>
      </c>
      <c r="C20" s="4"/>
      <c r="D20" s="4"/>
      <c r="E20" s="4"/>
      <c r="F20" s="4"/>
      <c r="G20" s="4"/>
      <c r="H20" s="4"/>
      <c r="I20" s="7"/>
    </row>
    <row r="21" customFormat="false" ht="15" hidden="false" customHeight="false" outlineLevel="0" collapsed="false">
      <c r="A21" s="4" t="s">
        <v>270</v>
      </c>
      <c r="B21" s="17" t="n">
        <f aca="false">B19*0.07</f>
        <v>28000</v>
      </c>
      <c r="C21" s="4"/>
      <c r="D21" s="4"/>
      <c r="E21" s="4"/>
      <c r="F21" s="4"/>
      <c r="G21" s="4"/>
      <c r="H21" s="4"/>
      <c r="I21" s="7"/>
    </row>
    <row r="22" customFormat="false" ht="15" hidden="false" customHeight="false" outlineLevel="0" collapsed="false">
      <c r="A22" s="19" t="s">
        <v>271</v>
      </c>
      <c r="B22" s="21" t="n">
        <f aca="false">B20*8+B21*4</f>
        <v>400000</v>
      </c>
      <c r="C22" s="59"/>
      <c r="D22" s="59"/>
      <c r="E22" s="59"/>
      <c r="F22" s="59"/>
      <c r="G22" s="59"/>
      <c r="H22" s="59"/>
      <c r="I22" s="60" t="s">
        <v>272</v>
      </c>
    </row>
    <row r="23" customFormat="false" ht="15" hidden="false" customHeight="false" outlineLevel="0" collapsed="false">
      <c r="A23" s="4" t="s">
        <v>273</v>
      </c>
      <c r="B23" s="36" t="n">
        <f aca="false">Annahmen!$B$27*(1+Annahmen!$B$28)</f>
        <v>0.4431</v>
      </c>
      <c r="C23" s="4"/>
      <c r="D23" s="4"/>
      <c r="E23" s="4"/>
      <c r="F23" s="4"/>
      <c r="G23" s="4"/>
      <c r="H23" s="4"/>
      <c r="I23" s="7" t="s">
        <v>274</v>
      </c>
    </row>
    <row r="24" customFormat="false" ht="15" hidden="false" customHeight="false" outlineLevel="0" collapsed="false">
      <c r="A24" s="4" t="s">
        <v>275</v>
      </c>
      <c r="B24" s="17" t="n">
        <f aca="false">B20*B23</f>
        <v>15951.6</v>
      </c>
      <c r="C24" s="4"/>
      <c r="D24" s="4"/>
      <c r="E24" s="4"/>
      <c r="F24" s="4"/>
      <c r="G24" s="4"/>
      <c r="H24" s="4"/>
      <c r="I24" s="7"/>
    </row>
    <row r="25" customFormat="false" ht="15" hidden="false" customHeight="false" outlineLevel="0" collapsed="false">
      <c r="A25" s="4" t="s">
        <v>276</v>
      </c>
      <c r="B25" s="17" t="n">
        <f aca="false">B21*B23</f>
        <v>12406.8</v>
      </c>
      <c r="C25" s="4"/>
      <c r="D25" s="4"/>
      <c r="E25" s="4"/>
      <c r="F25" s="4"/>
      <c r="G25" s="4"/>
      <c r="H25" s="4"/>
      <c r="I25" s="7"/>
    </row>
    <row r="26" customFormat="false" ht="15" hidden="false" customHeight="false" outlineLevel="0" collapsed="false">
      <c r="A26" s="48" t="s">
        <v>277</v>
      </c>
      <c r="B26" s="62" t="n">
        <f aca="false">B24*8+B25*4</f>
        <v>177240</v>
      </c>
      <c r="C26" s="54"/>
      <c r="D26" s="54"/>
      <c r="E26" s="54"/>
      <c r="F26" s="54"/>
      <c r="G26" s="54"/>
      <c r="H26" s="54"/>
      <c r="I26" s="63"/>
    </row>
    <row r="27" customFormat="false" ht="15" hidden="false" customHeight="false" outlineLevel="0" collapsed="false">
      <c r="A27" s="11" t="s">
        <v>278</v>
      </c>
    </row>
    <row r="28" customFormat="false" ht="30" hidden="false" customHeight="true" outlineLevel="0" collapsed="false">
      <c r="A28" s="12" t="s">
        <v>162</v>
      </c>
      <c r="B28" s="12" t="s">
        <v>3</v>
      </c>
      <c r="C28" s="12"/>
      <c r="D28" s="12"/>
      <c r="E28" s="12"/>
      <c r="F28" s="12"/>
      <c r="G28" s="12"/>
      <c r="H28" s="12"/>
      <c r="I28" s="12" t="s">
        <v>266</v>
      </c>
    </row>
    <row r="29" customFormat="false" ht="15" hidden="false" customHeight="false" outlineLevel="0" collapsed="false">
      <c r="A29" s="4" t="s">
        <v>279</v>
      </c>
      <c r="B29" s="17" t="n">
        <f aca="false">B19*Annahmen!$B$29</f>
        <v>10000</v>
      </c>
      <c r="C29" s="4"/>
      <c r="D29" s="4"/>
      <c r="E29" s="4"/>
      <c r="F29" s="4"/>
      <c r="G29" s="4"/>
      <c r="H29" s="4"/>
      <c r="I29" s="7" t="s">
        <v>280</v>
      </c>
    </row>
    <row r="30" customFormat="false" ht="15" hidden="false" customHeight="false" outlineLevel="0" collapsed="false">
      <c r="A30" s="4" t="s">
        <v>281</v>
      </c>
      <c r="B30" s="17" t="n">
        <f aca="false">B29*12</f>
        <v>120000</v>
      </c>
      <c r="C30" s="4"/>
      <c r="D30" s="4"/>
      <c r="E30" s="4"/>
      <c r="F30" s="4"/>
      <c r="G30" s="4"/>
      <c r="H30" s="4"/>
      <c r="I30" s="7" t="s">
        <v>282</v>
      </c>
    </row>
    <row r="31" customFormat="false" ht="15" hidden="false" customHeight="false" outlineLevel="0" collapsed="false">
      <c r="A31" s="4" t="s">
        <v>283</v>
      </c>
      <c r="B31" s="17" t="n">
        <f aca="false">B24*(1-(1+Annahmen!$B$30)^-8)/Annahmen!$B$30+B25*((1-(1+Annahmen!$B$30)^-12)/Annahmen!$B$30-(1-(1+Annahmen!$B$30)^-8)/Annahmen!$B$30)</f>
        <v>140304.967164475</v>
      </c>
      <c r="C31" s="4"/>
      <c r="D31" s="4"/>
      <c r="E31" s="4"/>
      <c r="F31" s="4"/>
      <c r="G31" s="4"/>
      <c r="H31" s="4"/>
      <c r="I31" s="7" t="s">
        <v>284</v>
      </c>
    </row>
    <row r="32" customFormat="false" ht="15" hidden="false" customHeight="false" outlineLevel="0" collapsed="false">
      <c r="A32" s="4" t="s">
        <v>285</v>
      </c>
      <c r="B32" s="17" t="n">
        <f aca="false">B29*B23*(1-(1+Annahmen!$B$30)^-40)/Annahmen!$B$30</f>
        <v>87701.7810774627</v>
      </c>
      <c r="C32" s="4"/>
      <c r="D32" s="4"/>
      <c r="E32" s="4"/>
      <c r="F32" s="4"/>
      <c r="G32" s="4"/>
      <c r="H32" s="4"/>
      <c r="I32" s="7"/>
    </row>
    <row r="33" customFormat="false" ht="15" hidden="false" customHeight="false" outlineLevel="0" collapsed="false">
      <c r="A33" s="48" t="s">
        <v>286</v>
      </c>
      <c r="B33" s="62" t="n">
        <f aca="false">B31-B32</f>
        <v>52603.1860870127</v>
      </c>
      <c r="C33" s="54"/>
      <c r="D33" s="54"/>
      <c r="E33" s="54"/>
      <c r="F33" s="54"/>
      <c r="G33" s="54"/>
      <c r="H33" s="54"/>
      <c r="I33" s="63"/>
    </row>
    <row r="34" customFormat="false" ht="15" hidden="false" customHeight="false" outlineLevel="0" collapsed="false">
      <c r="A34" s="4" t="s">
        <v>287</v>
      </c>
      <c r="B34" s="31" t="n">
        <f aca="false">B33/B19</f>
        <v>0.131507965217532</v>
      </c>
      <c r="C34" s="4"/>
      <c r="D34" s="4"/>
      <c r="E34" s="4"/>
      <c r="F34" s="4"/>
      <c r="G34" s="4"/>
      <c r="H34" s="4"/>
      <c r="I34" s="7"/>
    </row>
    <row r="36" customFormat="false" ht="15" hidden="false" customHeight="false" outlineLevel="0" collapsed="false">
      <c r="A36" s="11" t="s">
        <v>288</v>
      </c>
    </row>
    <row r="37" customFormat="false" ht="30" hidden="false" customHeight="true" outlineLevel="0" collapsed="false">
      <c r="A37" s="12" t="s">
        <v>289</v>
      </c>
      <c r="B37" s="12" t="s">
        <v>290</v>
      </c>
      <c r="C37" s="12" t="s">
        <v>291</v>
      </c>
      <c r="D37" s="12" t="s">
        <v>292</v>
      </c>
      <c r="E37" s="12" t="s">
        <v>293</v>
      </c>
      <c r="F37" s="12" t="s">
        <v>294</v>
      </c>
      <c r="G37" s="12" t="s">
        <v>295</v>
      </c>
      <c r="H37" s="12" t="s">
        <v>296</v>
      </c>
      <c r="I37" s="12" t="s">
        <v>297</v>
      </c>
      <c r="J37" s="12" t="s">
        <v>298</v>
      </c>
      <c r="K37" s="12" t="s">
        <v>299</v>
      </c>
      <c r="L37" s="12" t="s">
        <v>300</v>
      </c>
      <c r="M37" s="12" t="s">
        <v>301</v>
      </c>
    </row>
    <row r="38" customFormat="false" ht="15" hidden="false" customHeight="false" outlineLevel="0" collapsed="false">
      <c r="A38" s="4" t="s">
        <v>198</v>
      </c>
      <c r="B38" s="31" t="n">
        <v>0.09</v>
      </c>
      <c r="C38" s="31" t="n">
        <v>0.09</v>
      </c>
      <c r="D38" s="31" t="n">
        <v>0.09</v>
      </c>
      <c r="E38" s="31" t="n">
        <v>0.09</v>
      </c>
      <c r="F38" s="31" t="n">
        <v>0.09</v>
      </c>
      <c r="G38" s="31" t="n">
        <v>0.09</v>
      </c>
      <c r="H38" s="31" t="n">
        <v>0.09</v>
      </c>
      <c r="I38" s="31" t="n">
        <v>0.09</v>
      </c>
      <c r="J38" s="31" t="n">
        <v>0.07</v>
      </c>
      <c r="K38" s="31" t="n">
        <v>0.07</v>
      </c>
      <c r="L38" s="31" t="n">
        <v>0.07</v>
      </c>
      <c r="M38" s="31" t="n">
        <v>0.07</v>
      </c>
    </row>
    <row r="39" customFormat="false" ht="15" hidden="false" customHeight="false" outlineLevel="0" collapsed="false">
      <c r="A39" s="4" t="s">
        <v>302</v>
      </c>
      <c r="B39" s="37" t="n">
        <f aca="false">$B$19*B38</f>
        <v>36000</v>
      </c>
      <c r="C39" s="37" t="n">
        <f aca="false">$B$19*C38</f>
        <v>36000</v>
      </c>
      <c r="D39" s="37" t="n">
        <f aca="false">$B$19*D38</f>
        <v>36000</v>
      </c>
      <c r="E39" s="37" t="n">
        <f aca="false">$B$19*E38</f>
        <v>36000</v>
      </c>
      <c r="F39" s="37" t="n">
        <f aca="false">$B$19*F38</f>
        <v>36000</v>
      </c>
      <c r="G39" s="37" t="n">
        <f aca="false">$B$19*G38</f>
        <v>36000</v>
      </c>
      <c r="H39" s="37" t="n">
        <f aca="false">$B$19*H38</f>
        <v>36000</v>
      </c>
      <c r="I39" s="37" t="n">
        <f aca="false">$B$19*I38</f>
        <v>36000</v>
      </c>
      <c r="J39" s="37" t="n">
        <f aca="false">$B$19*J38</f>
        <v>28000</v>
      </c>
      <c r="K39" s="37" t="n">
        <f aca="false">$B$19*K38</f>
        <v>28000</v>
      </c>
      <c r="L39" s="37" t="n">
        <f aca="false">$B$19*L38</f>
        <v>28000</v>
      </c>
      <c r="M39" s="37" t="n">
        <f aca="false">$B$19*M38</f>
        <v>28000</v>
      </c>
    </row>
    <row r="40" customFormat="false" ht="15" hidden="false" customHeight="false" outlineLevel="0" collapsed="false">
      <c r="A40" s="4" t="s">
        <v>303</v>
      </c>
      <c r="B40" s="37" t="n">
        <f aca="false">B39*$B$23</f>
        <v>15951.6</v>
      </c>
      <c r="C40" s="37" t="n">
        <f aca="false">C39*$B$23</f>
        <v>15951.6</v>
      </c>
      <c r="D40" s="37" t="n">
        <f aca="false">D39*$B$23</f>
        <v>15951.6</v>
      </c>
      <c r="E40" s="37" t="n">
        <f aca="false">E39*$B$23</f>
        <v>15951.6</v>
      </c>
      <c r="F40" s="37" t="n">
        <f aca="false">F39*$B$23</f>
        <v>15951.6</v>
      </c>
      <c r="G40" s="37" t="n">
        <f aca="false">G39*$B$23</f>
        <v>15951.6</v>
      </c>
      <c r="H40" s="37" t="n">
        <f aca="false">H39*$B$23</f>
        <v>15951.6</v>
      </c>
      <c r="I40" s="37" t="n">
        <f aca="false">I39*$B$23</f>
        <v>15951.6</v>
      </c>
      <c r="J40" s="37" t="n">
        <f aca="false">J39*$B$23</f>
        <v>12406.8</v>
      </c>
      <c r="K40" s="37" t="n">
        <f aca="false">K39*$B$23</f>
        <v>12406.8</v>
      </c>
      <c r="L40" s="37" t="n">
        <f aca="false">L39*$B$23</f>
        <v>12406.8</v>
      </c>
      <c r="M40" s="37" t="n">
        <f aca="false">M39*$B$23</f>
        <v>12406.8</v>
      </c>
    </row>
    <row r="41" customFormat="false" ht="15" hidden="false" customHeight="false" outlineLevel="0" collapsed="false">
      <c r="A41" s="19" t="s">
        <v>304</v>
      </c>
      <c r="B41" s="38" t="n">
        <f aca="false">B40</f>
        <v>15951.6</v>
      </c>
      <c r="C41" s="38" t="n">
        <f aca="false">B41+C40</f>
        <v>31903.2</v>
      </c>
      <c r="D41" s="38" t="n">
        <f aca="false">C41+D40</f>
        <v>47854.8</v>
      </c>
      <c r="E41" s="38" t="n">
        <f aca="false">D41+E40</f>
        <v>63806.4</v>
      </c>
      <c r="F41" s="38" t="n">
        <f aca="false">E41+F40</f>
        <v>79758</v>
      </c>
      <c r="G41" s="38" t="n">
        <f aca="false">F41+G40</f>
        <v>95709.6</v>
      </c>
      <c r="H41" s="38" t="n">
        <f aca="false">G41+H40</f>
        <v>111661.2</v>
      </c>
      <c r="I41" s="38" t="n">
        <f aca="false">H41+I40</f>
        <v>127612.8</v>
      </c>
      <c r="J41" s="38" t="n">
        <f aca="false">I41+J40</f>
        <v>140019.6</v>
      </c>
      <c r="K41" s="38" t="n">
        <f aca="false">J41+K40</f>
        <v>152426.4</v>
      </c>
      <c r="L41" s="38" t="n">
        <f aca="false">K41+L40</f>
        <v>164833.2</v>
      </c>
      <c r="M41" s="38" t="n">
        <f aca="false">L41+M40</f>
        <v>177240</v>
      </c>
    </row>
    <row r="43" customFormat="false" ht="15" hidden="false" customHeight="true" outlineLevel="0" collapsed="false">
      <c r="A43" s="28" t="s">
        <v>305</v>
      </c>
      <c r="B43" s="28"/>
      <c r="C43" s="28"/>
      <c r="D43" s="28"/>
      <c r="E43" s="28"/>
      <c r="F43" s="28"/>
      <c r="G43" s="28"/>
      <c r="H43" s="28"/>
      <c r="I43" s="28"/>
    </row>
    <row r="44" customFormat="false" ht="15" hidden="false" customHeight="false" outlineLevel="0" collapsed="false">
      <c r="A44" s="28"/>
      <c r="B44" s="28"/>
      <c r="C44" s="28"/>
      <c r="D44" s="28"/>
      <c r="E44" s="28"/>
      <c r="F44" s="28"/>
      <c r="G44" s="28"/>
      <c r="H44" s="28"/>
      <c r="I44" s="28"/>
    </row>
    <row r="45" customFormat="false" ht="15" hidden="false" customHeight="false" outlineLevel="0" collapsed="false">
      <c r="A45" s="28"/>
      <c r="B45" s="28"/>
      <c r="C45" s="28"/>
      <c r="D45" s="28"/>
      <c r="E45" s="28"/>
      <c r="F45" s="28"/>
      <c r="G45" s="28"/>
      <c r="H45" s="28"/>
      <c r="I45" s="28"/>
    </row>
  </sheetData>
  <mergeCells count="1">
    <mergeCell ref="A43:I4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50"/>
    <col collapsed="false" customWidth="true" hidden="false" outlineLevel="0" max="2" min="2" style="0" width="13"/>
    <col collapsed="false" customWidth="true" hidden="false" outlineLevel="0" max="3" min="3" style="0" width="16"/>
    <col collapsed="false" customWidth="true" hidden="false" outlineLevel="0" max="4" min="4" style="0" width="13"/>
    <col collapsed="false" customWidth="true" hidden="false" outlineLevel="0" max="5" min="5" style="0" width="46"/>
  </cols>
  <sheetData>
    <row r="1" customFormat="false" ht="21.75" hidden="false" customHeight="true" outlineLevel="0" collapsed="false">
      <c r="A1" s="1" t="s">
        <v>306</v>
      </c>
    </row>
    <row r="2" customFormat="false" ht="15" hidden="false" customHeight="false" outlineLevel="0" collapsed="false">
      <c r="A2" s="2" t="s">
        <v>307</v>
      </c>
    </row>
    <row r="4" customFormat="false" ht="30" hidden="false" customHeight="true" outlineLevel="0" collapsed="false">
      <c r="A4" s="12" t="s">
        <v>308</v>
      </c>
      <c r="B4" s="12" t="s">
        <v>81</v>
      </c>
      <c r="C4" s="12" t="s">
        <v>309</v>
      </c>
      <c r="D4" s="12" t="s">
        <v>21</v>
      </c>
      <c r="E4" s="12" t="s">
        <v>310</v>
      </c>
    </row>
    <row r="5" customFormat="false" ht="15" hidden="false" customHeight="false" outlineLevel="0" collapsed="false">
      <c r="A5" s="19" t="s">
        <v>311</v>
      </c>
      <c r="B5" s="19"/>
      <c r="C5" s="19"/>
      <c r="D5" s="19"/>
      <c r="E5" s="19"/>
    </row>
    <row r="6" customFormat="false" ht="15" hidden="false" customHeight="false" outlineLevel="0" collapsed="false">
      <c r="A6" s="4" t="s">
        <v>312</v>
      </c>
      <c r="B6" s="64" t="n">
        <v>379</v>
      </c>
      <c r="C6" s="5" t="n">
        <v>449000</v>
      </c>
      <c r="D6" s="37" t="n">
        <f aca="false">C6/B6</f>
        <v>1184.69656992084</v>
      </c>
      <c r="E6" s="4" t="s">
        <v>313</v>
      </c>
    </row>
    <row r="7" customFormat="false" ht="15" hidden="false" customHeight="false" outlineLevel="0" collapsed="false">
      <c r="A7" s="4" t="s">
        <v>314</v>
      </c>
      <c r="B7" s="64" t="n">
        <v>305</v>
      </c>
      <c r="C7" s="5" t="n">
        <v>440000</v>
      </c>
      <c r="D7" s="37" t="n">
        <f aca="false">C7/B7</f>
        <v>1442.62295081967</v>
      </c>
      <c r="E7" s="4" t="s">
        <v>313</v>
      </c>
    </row>
    <row r="8" customFormat="false" ht="15" hidden="false" customHeight="false" outlineLevel="0" collapsed="false">
      <c r="A8" s="4" t="s">
        <v>315</v>
      </c>
      <c r="B8" s="64" t="n">
        <v>689</v>
      </c>
      <c r="C8" s="5" t="n">
        <v>999000</v>
      </c>
      <c r="D8" s="37" t="n">
        <f aca="false">C8/B8</f>
        <v>1449.92743105951</v>
      </c>
      <c r="E8" s="4" t="s">
        <v>313</v>
      </c>
    </row>
    <row r="9" customFormat="false" ht="15" hidden="false" customHeight="false" outlineLevel="0" collapsed="false">
      <c r="A9" s="4" t="s">
        <v>316</v>
      </c>
      <c r="B9" s="64" t="n">
        <v>502</v>
      </c>
      <c r="C9" s="5" t="n">
        <v>740000</v>
      </c>
      <c r="D9" s="37" t="n">
        <f aca="false">C9/B9</f>
        <v>1474.10358565737</v>
      </c>
      <c r="E9" s="4" t="s">
        <v>313</v>
      </c>
    </row>
    <row r="10" customFormat="false" ht="15" hidden="false" customHeight="false" outlineLevel="0" collapsed="false">
      <c r="A10" s="4" t="s">
        <v>317</v>
      </c>
      <c r="B10" s="64" t="n">
        <v>199</v>
      </c>
      <c r="C10" s="5" t="n">
        <v>320000</v>
      </c>
      <c r="D10" s="37" t="n">
        <f aca="false">C10/B10</f>
        <v>1608.04020100503</v>
      </c>
      <c r="E10" s="4" t="s">
        <v>313</v>
      </c>
    </row>
    <row r="11" customFormat="false" ht="15" hidden="false" customHeight="false" outlineLevel="0" collapsed="false">
      <c r="A11" s="19" t="s">
        <v>318</v>
      </c>
      <c r="B11" s="19"/>
      <c r="C11" s="19"/>
      <c r="D11" s="38" t="n">
        <f aca="false">MEDIAN(D6:D10)</f>
        <v>1449.92743105951</v>
      </c>
      <c r="E11" s="19"/>
    </row>
    <row r="13" customFormat="false" ht="15" hidden="false" customHeight="false" outlineLevel="0" collapsed="false">
      <c r="A13" s="19" t="s">
        <v>319</v>
      </c>
      <c r="B13" s="19"/>
      <c r="C13" s="19"/>
      <c r="D13" s="19"/>
      <c r="E13" s="19"/>
    </row>
    <row r="14" customFormat="false" ht="15" hidden="false" customHeight="false" outlineLevel="0" collapsed="false">
      <c r="A14" s="4" t="s">
        <v>320</v>
      </c>
      <c r="B14" s="4"/>
      <c r="C14" s="4"/>
      <c r="D14" s="5" t="n">
        <v>1697</v>
      </c>
      <c r="E14" s="4" t="s">
        <v>321</v>
      </c>
    </row>
    <row r="15" customFormat="false" ht="15" hidden="false" customHeight="false" outlineLevel="0" collapsed="false">
      <c r="A15" s="4" t="s">
        <v>322</v>
      </c>
      <c r="B15" s="4"/>
      <c r="C15" s="4"/>
      <c r="D15" s="5" t="n">
        <v>1542</v>
      </c>
      <c r="E15" s="4" t="s">
        <v>321</v>
      </c>
    </row>
    <row r="16" customFormat="false" ht="15" hidden="false" customHeight="false" outlineLevel="0" collapsed="false">
      <c r="A16" s="4" t="s">
        <v>323</v>
      </c>
      <c r="B16" s="4"/>
      <c r="C16" s="4"/>
      <c r="D16" s="5" t="n">
        <v>2363</v>
      </c>
      <c r="E16" s="4" t="s">
        <v>321</v>
      </c>
    </row>
    <row r="17" customFormat="false" ht="15" hidden="false" customHeight="false" outlineLevel="0" collapsed="false">
      <c r="A17" s="4" t="s">
        <v>324</v>
      </c>
      <c r="B17" s="4"/>
      <c r="C17" s="4"/>
      <c r="D17" s="5" t="n">
        <v>2397</v>
      </c>
      <c r="E17" s="4" t="s">
        <v>321</v>
      </c>
    </row>
    <row r="18" customFormat="false" ht="15" hidden="false" customHeight="false" outlineLevel="0" collapsed="false">
      <c r="A18" s="4" t="s">
        <v>324</v>
      </c>
      <c r="B18" s="4"/>
      <c r="C18" s="4"/>
      <c r="D18" s="5" t="n">
        <v>2076</v>
      </c>
      <c r="E18" s="4" t="s">
        <v>325</v>
      </c>
    </row>
    <row r="19" customFormat="false" ht="15" hidden="false" customHeight="false" outlineLevel="0" collapsed="false">
      <c r="A19" s="4" t="s">
        <v>324</v>
      </c>
      <c r="B19" s="4"/>
      <c r="C19" s="4"/>
      <c r="D19" s="5" t="n">
        <v>2200</v>
      </c>
      <c r="E19" s="4" t="s">
        <v>326</v>
      </c>
    </row>
    <row r="21" customFormat="false" ht="15" hidden="false" customHeight="false" outlineLevel="0" collapsed="false">
      <c r="A21" s="11" t="s">
        <v>327</v>
      </c>
    </row>
    <row r="22" customFormat="false" ht="30" hidden="false" customHeight="true" outlineLevel="0" collapsed="false">
      <c r="A22" s="12" t="s">
        <v>328</v>
      </c>
      <c r="B22" s="12" t="s">
        <v>329</v>
      </c>
      <c r="C22" s="12" t="s">
        <v>182</v>
      </c>
      <c r="D22" s="12"/>
      <c r="E22" s="12" t="s">
        <v>330</v>
      </c>
    </row>
    <row r="23" customFormat="false" ht="15" hidden="false" customHeight="false" outlineLevel="0" collapsed="false">
      <c r="A23" s="4" t="s">
        <v>331</v>
      </c>
      <c r="B23" s="4"/>
      <c r="C23" s="33" t="n">
        <f aca="false">$D$11</f>
        <v>1449.92743105951</v>
      </c>
      <c r="D23" s="4"/>
      <c r="E23" s="4" t="s">
        <v>332</v>
      </c>
    </row>
    <row r="24" customFormat="false" ht="23.85" hidden="false" customHeight="false" outlineLevel="0" collapsed="false">
      <c r="A24" s="4" t="s">
        <v>333</v>
      </c>
      <c r="B24" s="8" t="n">
        <v>-0.1</v>
      </c>
      <c r="C24" s="37" t="n">
        <f aca="false">C23*(1+B24)</f>
        <v>1304.93468795356</v>
      </c>
      <c r="D24" s="4"/>
      <c r="E24" s="65" t="s">
        <v>334</v>
      </c>
    </row>
    <row r="25" customFormat="false" ht="23.85" hidden="false" customHeight="false" outlineLevel="0" collapsed="false">
      <c r="A25" s="4" t="s">
        <v>335</v>
      </c>
      <c r="B25" s="8" t="n">
        <v>-0.25</v>
      </c>
      <c r="C25" s="37" t="n">
        <f aca="false">C24*(1+B25)</f>
        <v>978.701015965167</v>
      </c>
      <c r="D25" s="4"/>
      <c r="E25" s="65" t="s">
        <v>336</v>
      </c>
    </row>
    <row r="26" customFormat="false" ht="23.85" hidden="false" customHeight="false" outlineLevel="0" collapsed="false">
      <c r="A26" s="4" t="s">
        <v>337</v>
      </c>
      <c r="B26" s="8" t="n">
        <v>-0.2</v>
      </c>
      <c r="C26" s="37" t="n">
        <f aca="false">C25*(1+B26)</f>
        <v>782.960812772134</v>
      </c>
      <c r="D26" s="4"/>
      <c r="E26" s="65" t="s">
        <v>338</v>
      </c>
    </row>
    <row r="27" customFormat="false" ht="15" hidden="false" customHeight="false" outlineLevel="0" collapsed="false">
      <c r="A27" s="19" t="s">
        <v>339</v>
      </c>
      <c r="B27" s="19"/>
      <c r="C27" s="38" t="n">
        <f aca="false">C26</f>
        <v>782.960812772134</v>
      </c>
      <c r="D27" s="19"/>
      <c r="E27" s="19"/>
    </row>
    <row r="28" customFormat="false" ht="15" hidden="false" customHeight="false" outlineLevel="0" collapsed="false">
      <c r="A28" s="48" t="s">
        <v>340</v>
      </c>
      <c r="B28" s="48"/>
      <c r="C28" s="66" t="n">
        <f aca="false">Preisfindung!M9</f>
        <v>905.73146873415</v>
      </c>
      <c r="D28" s="48"/>
      <c r="E28" s="48" t="str">
        <f aca="false">IF(C28&lt;=C27,"unter dem rechnerischen Zielwert","über dem Zielwert")</f>
        <v>über dem Zielwert</v>
      </c>
    </row>
    <row r="29" customFormat="false" ht="15" hidden="false" customHeight="false" outlineLevel="0" collapsed="false">
      <c r="A29" s="4" t="s">
        <v>341</v>
      </c>
      <c r="B29" s="4"/>
      <c r="C29" s="37" t="n">
        <f aca="false">C28-C27</f>
        <v>122.770655962016</v>
      </c>
      <c r="D29" s="31" t="n">
        <f aca="false">C28/C27-1</f>
        <v>0.15680306595082</v>
      </c>
      <c r="E29" s="4"/>
    </row>
    <row r="31" customFormat="false" ht="15" hidden="false" customHeight="false" outlineLevel="0" collapsed="false">
      <c r="A31" s="11" t="s">
        <v>342</v>
      </c>
    </row>
    <row r="32" customFormat="false" ht="30" hidden="false" customHeight="true" outlineLevel="0" collapsed="false">
      <c r="A32" s="12" t="s">
        <v>343</v>
      </c>
      <c r="B32" s="12"/>
      <c r="C32" s="12"/>
      <c r="D32" s="12" t="s">
        <v>21</v>
      </c>
      <c r="E32" s="12" t="s">
        <v>344</v>
      </c>
    </row>
    <row r="33" customFormat="false" ht="15" hidden="false" customHeight="false" outlineLevel="0" collapsed="false">
      <c r="A33" s="4" t="s">
        <v>345</v>
      </c>
      <c r="B33" s="4"/>
      <c r="C33" s="4"/>
      <c r="D33" s="9" t="n">
        <v>5.44</v>
      </c>
      <c r="E33" s="4" t="s">
        <v>346</v>
      </c>
    </row>
    <row r="34" customFormat="false" ht="15" hidden="false" customHeight="false" outlineLevel="0" collapsed="false">
      <c r="A34" s="4" t="s">
        <v>347</v>
      </c>
      <c r="B34" s="4"/>
      <c r="C34" s="4"/>
      <c r="D34" s="9" t="n">
        <v>7.79</v>
      </c>
      <c r="E34" s="4" t="s">
        <v>348</v>
      </c>
    </row>
    <row r="35" customFormat="false" ht="15" hidden="false" customHeight="false" outlineLevel="0" collapsed="false">
      <c r="A35" s="4" t="s">
        <v>349</v>
      </c>
      <c r="B35" s="4"/>
      <c r="C35" s="4"/>
      <c r="D35" s="9" t="n">
        <v>8.18</v>
      </c>
      <c r="E35" s="4" t="s">
        <v>350</v>
      </c>
    </row>
    <row r="36" customFormat="false" ht="15" hidden="false" customHeight="false" outlineLevel="0" collapsed="false">
      <c r="A36" s="4" t="s">
        <v>351</v>
      </c>
      <c r="B36" s="4"/>
      <c r="C36" s="4"/>
      <c r="D36" s="9" t="n">
        <v>9.57</v>
      </c>
      <c r="E36" s="4" t="s">
        <v>352</v>
      </c>
    </row>
    <row r="37" customFormat="false" ht="15" hidden="false" customHeight="false" outlineLevel="0" collapsed="false">
      <c r="A37" s="48" t="s">
        <v>353</v>
      </c>
      <c r="B37" s="48"/>
      <c r="C37" s="48"/>
      <c r="D37" s="67" t="n">
        <f aca="false">Mietregister!M27</f>
        <v>7.04259153686301</v>
      </c>
      <c r="E37" s="48" t="s">
        <v>354</v>
      </c>
    </row>
    <row r="38" customFormat="false" ht="15" hidden="false" customHeight="false" outlineLevel="0" collapsed="false">
      <c r="A38" s="19" t="s">
        <v>355</v>
      </c>
      <c r="B38" s="19"/>
      <c r="C38" s="19"/>
      <c r="D38" s="68" t="n">
        <f aca="false">Mietregister!N27</f>
        <v>7.66794784559649</v>
      </c>
      <c r="E38" s="19" t="s">
        <v>356</v>
      </c>
    </row>
    <row r="40" customFormat="false" ht="15" hidden="false" customHeight="true" outlineLevel="0" collapsed="false">
      <c r="A40" s="28" t="s">
        <v>357</v>
      </c>
      <c r="B40" s="28"/>
      <c r="C40" s="28"/>
      <c r="D40" s="28"/>
      <c r="E40" s="28"/>
    </row>
    <row r="41" customFormat="false" ht="15" hidden="false" customHeight="false" outlineLevel="0" collapsed="false">
      <c r="A41" s="28"/>
      <c r="B41" s="28"/>
      <c r="C41" s="28"/>
      <c r="D41" s="28"/>
      <c r="E41" s="28"/>
    </row>
  </sheetData>
  <mergeCells count="1">
    <mergeCell ref="A40:E4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8"/>
    <col collapsed="false" customWidth="true" hidden="false" outlineLevel="0" max="3" min="2" style="0" width="13"/>
    <col collapsed="false" customWidth="true" hidden="false" outlineLevel="0" max="4" min="4" style="0" width="15"/>
    <col collapsed="false" customWidth="true" hidden="false" outlineLevel="0" max="6" min="5" style="0" width="14"/>
    <col collapsed="false" customWidth="true" hidden="false" outlineLevel="0" max="7" min="7" style="0" width="15"/>
    <col collapsed="false" customWidth="true" hidden="false" outlineLevel="0" max="8" min="8" style="0" width="13"/>
    <col collapsed="false" customWidth="true" hidden="false" outlineLevel="0" max="9" min="9" style="0" width="12"/>
    <col collapsed="false" customWidth="true" hidden="false" outlineLevel="0" max="10" min="10" style="0" width="14"/>
    <col collapsed="false" customWidth="true" hidden="false" outlineLevel="0" max="12" min="11" style="0" width="11"/>
  </cols>
  <sheetData>
    <row r="1" customFormat="false" ht="17.35" hidden="false" customHeight="false" outlineLevel="0" collapsed="false">
      <c r="A1" s="1" t="s">
        <v>358</v>
      </c>
    </row>
    <row r="2" customFormat="false" ht="15" hidden="false" customHeight="false" outlineLevel="0" collapsed="false">
      <c r="A2" s="2" t="s">
        <v>359</v>
      </c>
    </row>
    <row r="4" customFormat="false" ht="30" hidden="false" customHeight="true" outlineLevel="0" collapsed="false">
      <c r="A4" s="12" t="s">
        <v>67</v>
      </c>
      <c r="B4" s="12" t="s">
        <v>68</v>
      </c>
      <c r="C4" s="12" t="s">
        <v>69</v>
      </c>
      <c r="D4" s="12" t="s">
        <v>360</v>
      </c>
      <c r="E4" s="12" t="s">
        <v>361</v>
      </c>
      <c r="F4" s="12" t="s">
        <v>362</v>
      </c>
      <c r="G4" s="12" t="s">
        <v>200</v>
      </c>
      <c r="H4" s="12" t="s">
        <v>363</v>
      </c>
      <c r="I4" s="12" t="s">
        <v>364</v>
      </c>
      <c r="J4" s="12" t="s">
        <v>204</v>
      </c>
      <c r="K4" s="12" t="s">
        <v>365</v>
      </c>
      <c r="L4" s="12" t="s">
        <v>366</v>
      </c>
    </row>
    <row r="5" customFormat="false" ht="15" hidden="false" customHeight="false" outlineLevel="0" collapsed="false">
      <c r="A5" s="4" t="s">
        <v>71</v>
      </c>
      <c r="B5" s="29" t="n">
        <f aca="false">Annahmen!$B$42</f>
        <v>400</v>
      </c>
      <c r="C5" s="33" t="n">
        <f aca="false">Annahmen!$C$42</f>
        <v>3100</v>
      </c>
      <c r="D5" s="37" t="n">
        <f aca="false">B5*C5</f>
        <v>1240000</v>
      </c>
      <c r="E5" s="37" t="n">
        <f aca="false">D5*0.175</f>
        <v>217000</v>
      </c>
      <c r="F5" s="5" t="n">
        <v>58400</v>
      </c>
      <c r="G5" s="45" t="n">
        <f aca="false">D5+E5+F5</f>
        <v>1515400</v>
      </c>
      <c r="H5" s="37" t="n">
        <f aca="false">G5/B5</f>
        <v>3788.5</v>
      </c>
      <c r="I5" s="13" t="n">
        <f aca="false">Annahmen!$D$42</f>
        <v>20</v>
      </c>
      <c r="J5" s="37" t="n">
        <f aca="false">B5*I5*12</f>
        <v>96000</v>
      </c>
      <c r="K5" s="36" t="n">
        <f aca="false">J5/G5</f>
        <v>0.0633496106638511</v>
      </c>
      <c r="L5" s="36" t="n">
        <f aca="false">J5*(1-Annahmen!$B$10)/G5</f>
        <v>0.0462452157846113</v>
      </c>
    </row>
    <row r="6" customFormat="false" ht="15" hidden="false" customHeight="false" outlineLevel="0" collapsed="false">
      <c r="A6" s="4" t="s">
        <v>72</v>
      </c>
      <c r="B6" s="29" t="n">
        <f aca="false">Annahmen!$B$43</f>
        <v>120</v>
      </c>
      <c r="C6" s="33" t="n">
        <f aca="false">Annahmen!$C$43</f>
        <v>2800</v>
      </c>
      <c r="D6" s="37" t="n">
        <f aca="false">B6*C6</f>
        <v>336000</v>
      </c>
      <c r="E6" s="37" t="n">
        <f aca="false">D6*0.2</f>
        <v>67200</v>
      </c>
      <c r="F6" s="5" t="n">
        <v>8560</v>
      </c>
      <c r="G6" s="45" t="n">
        <f aca="false">D6+E6+F6</f>
        <v>411760</v>
      </c>
      <c r="H6" s="37" t="n">
        <f aca="false">G6/B6</f>
        <v>3431.33333333333</v>
      </c>
      <c r="I6" s="13" t="n">
        <f aca="false">Annahmen!$D$43</f>
        <v>11</v>
      </c>
      <c r="J6" s="37" t="n">
        <f aca="false">B6*I6*12</f>
        <v>15840</v>
      </c>
      <c r="K6" s="36" t="n">
        <f aca="false">J6/G6</f>
        <v>0.0384690110744123</v>
      </c>
      <c r="L6" s="36" t="n">
        <f aca="false">J6*(1-Annahmen!$B$10)/G6</f>
        <v>0.028082378084321</v>
      </c>
    </row>
    <row r="7" customFormat="false" ht="15" hidden="false" customHeight="false" outlineLevel="0" collapsed="false">
      <c r="A7" s="4" t="s">
        <v>73</v>
      </c>
      <c r="B7" s="29" t="n">
        <f aca="false">Annahmen!$B$44</f>
        <v>78</v>
      </c>
      <c r="C7" s="33" t="n">
        <f aca="false">Annahmen!$C$44</f>
        <v>2900</v>
      </c>
      <c r="D7" s="37" t="n">
        <f aca="false">B7*C7</f>
        <v>226200</v>
      </c>
      <c r="E7" s="37" t="n">
        <f aca="false">D7*0.2</f>
        <v>45240</v>
      </c>
      <c r="F7" s="5" t="n">
        <v>4460</v>
      </c>
      <c r="G7" s="45" t="n">
        <f aca="false">D7+E7+F7</f>
        <v>275900</v>
      </c>
      <c r="H7" s="37" t="n">
        <f aca="false">G7/B7</f>
        <v>3537.17948717949</v>
      </c>
      <c r="I7" s="13" t="n">
        <f aca="false">Annahmen!$D$44</f>
        <v>11</v>
      </c>
      <c r="J7" s="37" t="n">
        <f aca="false">B7*I7*12</f>
        <v>10296</v>
      </c>
      <c r="K7" s="36" t="n">
        <f aca="false">J7/G7</f>
        <v>0.037317868793041</v>
      </c>
      <c r="L7" s="36" t="n">
        <f aca="false">J7*(1-Annahmen!$B$10)/G7</f>
        <v>0.0272420442189199</v>
      </c>
    </row>
    <row r="8" customFormat="false" ht="15" hidden="false" customHeight="false" outlineLevel="0" collapsed="false">
      <c r="A8" s="24" t="s">
        <v>168</v>
      </c>
      <c r="B8" s="25" t="n">
        <f aca="false">SUM(B5:B7)</f>
        <v>598</v>
      </c>
      <c r="C8" s="24"/>
      <c r="D8" s="43" t="n">
        <f aca="false">SUM(D5:D7)</f>
        <v>1802200</v>
      </c>
      <c r="E8" s="43" t="n">
        <f aca="false">SUM(E5:E7)</f>
        <v>329440</v>
      </c>
      <c r="F8" s="43" t="n">
        <f aca="false">SUM(F5:F7)</f>
        <v>71420</v>
      </c>
      <c r="G8" s="43" t="n">
        <f aca="false">SUM(G5:G7)</f>
        <v>2203060</v>
      </c>
      <c r="H8" s="43" t="n">
        <f aca="false">G8/B8</f>
        <v>3684.04682274248</v>
      </c>
      <c r="I8" s="24"/>
      <c r="J8" s="43" t="n">
        <f aca="false">SUM(J5:J7)</f>
        <v>122136</v>
      </c>
      <c r="K8" s="42" t="n">
        <f aca="false">J8/G8</f>
        <v>0.0554392526758236</v>
      </c>
      <c r="L8" s="42" t="n">
        <f aca="false">J8*(1-Annahmen!$B$10)/G8</f>
        <v>0.0404706544533513</v>
      </c>
    </row>
    <row r="10" customFormat="false" ht="15" hidden="false" customHeight="false" outlineLevel="0" collapsed="false">
      <c r="A10" s="11" t="s">
        <v>367</v>
      </c>
    </row>
    <row r="11" customFormat="false" ht="15" hidden="false" customHeight="false" outlineLevel="0" collapsed="false">
      <c r="A11" s="3" t="s">
        <v>203</v>
      </c>
      <c r="B11" s="3" t="s">
        <v>204</v>
      </c>
      <c r="C11" s="3" t="s">
        <v>368</v>
      </c>
      <c r="D11" s="3" t="s">
        <v>369</v>
      </c>
    </row>
    <row r="12" customFormat="false" ht="15" hidden="false" customHeight="false" outlineLevel="0" collapsed="false">
      <c r="A12" s="4" t="s">
        <v>370</v>
      </c>
      <c r="B12" s="34" t="n">
        <f aca="false">Preisfindung!C9</f>
        <v>91909.2</v>
      </c>
      <c r="C12" s="33" t="n">
        <f aca="false">Preisfindung!$C$31</f>
        <v>1608750</v>
      </c>
      <c r="D12" s="69" t="n">
        <f aca="false">B12*(1-Annahmen!$B$10)/C12</f>
        <v>0.0417054955710956</v>
      </c>
    </row>
    <row r="13" customFormat="false" ht="15" hidden="false" customHeight="false" outlineLevel="0" collapsed="false">
      <c r="A13" s="4" t="s">
        <v>371</v>
      </c>
      <c r="B13" s="34" t="n">
        <f aca="false">Preisfindung!D9</f>
        <v>100070.4</v>
      </c>
      <c r="C13" s="33" t="n">
        <f aca="false">Preisfindung!$C$31</f>
        <v>1608750</v>
      </c>
      <c r="D13" s="69" t="n">
        <f aca="false">B13*(1-Annahmen!$B$10)/C13</f>
        <v>0.0454087906759907</v>
      </c>
    </row>
    <row r="14" customFormat="false" ht="15" hidden="false" customHeight="false" outlineLevel="0" collapsed="false">
      <c r="A14" s="4" t="s">
        <v>372</v>
      </c>
      <c r="B14" s="34" t="n">
        <f aca="false">Preisfindung!E9</f>
        <v>139027.2</v>
      </c>
      <c r="C14" s="33" t="n">
        <f aca="false">Preisfindung!$C$31</f>
        <v>1608750</v>
      </c>
      <c r="D14" s="69" t="n">
        <f aca="false">B14*(1-Annahmen!$B$10)/C14</f>
        <v>0.0630861575757576</v>
      </c>
    </row>
    <row r="15" customFormat="false" ht="15" hidden="false" customHeight="false" outlineLevel="0" collapsed="false">
      <c r="A15" s="48" t="s">
        <v>373</v>
      </c>
      <c r="B15" s="70" t="n">
        <f aca="false">Preisfindung!E9+J8</f>
        <v>261163.2</v>
      </c>
      <c r="C15" s="66" t="n">
        <f aca="false">Preisfindung!$C$31+G8</f>
        <v>3811810</v>
      </c>
      <c r="D15" s="71" t="n">
        <f aca="false">B15*(1-Annahmen!$B$10)/C15</f>
        <v>0.0500153827184461</v>
      </c>
    </row>
    <row r="17" customFormat="false" ht="15" hidden="false" customHeight="true" outlineLevel="0" collapsed="false">
      <c r="A17" s="28" t="s">
        <v>374</v>
      </c>
      <c r="B17" s="28"/>
      <c r="C17" s="28"/>
      <c r="D17" s="28"/>
      <c r="E17" s="28"/>
      <c r="F17" s="28"/>
      <c r="G17" s="28"/>
      <c r="H17" s="28"/>
      <c r="I17" s="28"/>
      <c r="J17" s="28"/>
      <c r="K17" s="28"/>
      <c r="L17" s="28"/>
    </row>
    <row r="18" customFormat="false" ht="15" hidden="false" customHeight="false" outlineLevel="0" collapsed="false">
      <c r="A18" s="28"/>
      <c r="B18" s="28"/>
      <c r="C18" s="28"/>
      <c r="D18" s="28"/>
      <c r="E18" s="28"/>
      <c r="F18" s="28"/>
      <c r="G18" s="28"/>
      <c r="H18" s="28"/>
      <c r="I18" s="28"/>
      <c r="J18" s="28"/>
      <c r="K18" s="28"/>
      <c r="L18" s="28"/>
    </row>
  </sheetData>
  <mergeCells count="1">
    <mergeCell ref="A17:L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2026-08-07T17:59:35Z</dcterms:created>
  <dc:creator>openpyxl</dc:creator>
  <dc:description/>
  <dc:language>de-DE</dc:language>
  <cp:lastModifiedBy/>
  <dcterms:modified xsi:type="dcterms:W3CDTF">2026-08-07T17:59:36Z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